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N BASSANO\PEF 2026\"/>
    </mc:Choice>
  </mc:AlternateContent>
  <xr:revisionPtr revIDLastSave="0" documentId="13_ncr:1_{CC39E389-5ADB-433B-A4F8-6686F8A60AE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6" sheetId="11" r:id="rId1"/>
    <sheet name="Dati" sheetId="1" r:id="rId2"/>
    <sheet name="Ud1" sheetId="9" r:id="rId3"/>
    <sheet name="Ud" sheetId="2" r:id="rId4"/>
    <sheet name="Ud2" sheetId="8" r:id="rId5"/>
    <sheet name="Und1" sheetId="10" r:id="rId6"/>
    <sheet name="TFnd" sheetId="5" r:id="rId7"/>
    <sheet name="TVnd" sheetId="6" r:id="rId8"/>
    <sheet name="Und" sheetId="7" r:id="rId9"/>
  </sheets>
  <definedNames>
    <definedName name="Print_Area" localSheetId="1">Dati!$A$1:$I$31</definedName>
  </definedNames>
  <calcPr calcId="191029"/>
</workbook>
</file>

<file path=xl/calcChain.xml><?xml version="1.0" encoding="utf-8"?>
<calcChain xmlns="http://schemas.openxmlformats.org/spreadsheetml/2006/main">
  <c r="D17" i="1" l="1"/>
  <c r="D18" i="1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H26" i="8"/>
  <c r="H25" i="8"/>
  <c r="H24" i="8"/>
  <c r="H23" i="8"/>
  <c r="H22" i="8"/>
  <c r="H21" i="8"/>
  <c r="F16" i="5" l="1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H24" i="10"/>
  <c r="B17" i="1" l="1"/>
  <c r="G23" i="6" l="1"/>
  <c r="E23" i="6"/>
  <c r="C18" i="1"/>
  <c r="G31" i="10" l="1"/>
  <c r="I31" i="10"/>
  <c r="D8" i="1"/>
  <c r="D6" i="1"/>
  <c r="E17" i="1" l="1"/>
  <c r="E18" i="1" l="1"/>
  <c r="E19" i="1" s="1"/>
  <c r="G10" i="7"/>
  <c r="O10" i="7" s="1"/>
  <c r="G11" i="7"/>
  <c r="O11" i="7" s="1"/>
  <c r="G12" i="7"/>
  <c r="O12" i="7" s="1"/>
  <c r="G13" i="7"/>
  <c r="O13" i="7" s="1"/>
  <c r="G14" i="7"/>
  <c r="O14" i="7" s="1"/>
  <c r="G15" i="7"/>
  <c r="O15" i="7" s="1"/>
  <c r="G16" i="7"/>
  <c r="O16" i="7" s="1"/>
  <c r="G17" i="7"/>
  <c r="O17" i="7" s="1"/>
  <c r="G18" i="7"/>
  <c r="O18" i="7" s="1"/>
  <c r="G19" i="7"/>
  <c r="O19" i="7" s="1"/>
  <c r="G20" i="7"/>
  <c r="O20" i="7" s="1"/>
  <c r="G21" i="7"/>
  <c r="O21" i="7" s="1"/>
  <c r="G22" i="7"/>
  <c r="O22" i="7" s="1"/>
  <c r="G23" i="7"/>
  <c r="O23" i="7" s="1"/>
  <c r="G24" i="7"/>
  <c r="O24" i="7" s="1"/>
  <c r="G25" i="7"/>
  <c r="O25" i="7" s="1"/>
  <c r="G26" i="7"/>
  <c r="O26" i="7" s="1"/>
  <c r="G27" i="7"/>
  <c r="O27" i="7" s="1"/>
  <c r="G28" i="7"/>
  <c r="O28" i="7" s="1"/>
  <c r="G29" i="7"/>
  <c r="O29" i="7" s="1"/>
  <c r="G9" i="7"/>
  <c r="O9" i="7" s="1"/>
  <c r="H9" i="8"/>
  <c r="H7" i="8"/>
  <c r="B16" i="9"/>
  <c r="G30" i="7"/>
  <c r="D9" i="1"/>
  <c r="F6" i="1" s="1"/>
  <c r="E21" i="6"/>
  <c r="E22" i="6"/>
  <c r="H21" i="7" s="1"/>
  <c r="H22" i="10" s="1"/>
  <c r="E24" i="6"/>
  <c r="H23" i="7" s="1"/>
  <c r="E11" i="6"/>
  <c r="H10" i="7" s="1"/>
  <c r="H11" i="10" s="1"/>
  <c r="E12" i="6"/>
  <c r="H11" i="7" s="1"/>
  <c r="H12" i="10" s="1"/>
  <c r="E13" i="6"/>
  <c r="E14" i="6"/>
  <c r="H13" i="7" s="1"/>
  <c r="H14" i="10" s="1"/>
  <c r="E15" i="6"/>
  <c r="H14" i="7" s="1"/>
  <c r="E16" i="6"/>
  <c r="E17" i="6"/>
  <c r="E18" i="6"/>
  <c r="F18" i="6" s="1"/>
  <c r="E19" i="6"/>
  <c r="H18" i="7" s="1"/>
  <c r="E20" i="6"/>
  <c r="H19" i="7" s="1"/>
  <c r="H20" i="10" s="1"/>
  <c r="E25" i="6"/>
  <c r="F25" i="6" s="1"/>
  <c r="E26" i="6"/>
  <c r="H25" i="7" s="1"/>
  <c r="H26" i="10" s="1"/>
  <c r="E28" i="6"/>
  <c r="H27" i="7" s="1"/>
  <c r="H28" i="10" s="1"/>
  <c r="E29" i="6"/>
  <c r="H28" i="7" s="1"/>
  <c r="H29" i="10" s="1"/>
  <c r="E30" i="6"/>
  <c r="H29" i="7" s="1"/>
  <c r="E10" i="6"/>
  <c r="H9" i="7" s="1"/>
  <c r="H10" i="10" s="1"/>
  <c r="H12" i="7"/>
  <c r="H13" i="10" s="1"/>
  <c r="H15" i="7"/>
  <c r="H16" i="10" s="1"/>
  <c r="H16" i="7"/>
  <c r="H17" i="10" s="1"/>
  <c r="H17" i="7"/>
  <c r="H18" i="10" s="1"/>
  <c r="H20" i="7"/>
  <c r="H21" i="10" s="1"/>
  <c r="H22" i="7"/>
  <c r="H23" i="10" s="1"/>
  <c r="H26" i="7"/>
  <c r="H27" i="10" s="1"/>
  <c r="B9" i="10"/>
  <c r="C7" i="6"/>
  <c r="C16" i="9"/>
  <c r="I30" i="7"/>
  <c r="H10" i="8"/>
  <c r="H8" i="8"/>
  <c r="H12" i="8"/>
  <c r="B18" i="1"/>
  <c r="G30" i="5"/>
  <c r="G29" i="5"/>
  <c r="G28" i="5"/>
  <c r="H28" i="5" s="1"/>
  <c r="G27" i="5"/>
  <c r="G26" i="5"/>
  <c r="G25" i="5"/>
  <c r="G24" i="5"/>
  <c r="G23" i="5"/>
  <c r="G22" i="5"/>
  <c r="G21" i="5"/>
  <c r="G20" i="5"/>
  <c r="G19" i="5"/>
  <c r="G18" i="5"/>
  <c r="G17" i="5"/>
  <c r="G16" i="5"/>
  <c r="H16" i="5" s="1"/>
  <c r="G15" i="5"/>
  <c r="G14" i="5"/>
  <c r="G13" i="5"/>
  <c r="G12" i="5"/>
  <c r="G11" i="5"/>
  <c r="F26" i="5"/>
  <c r="F25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G30" i="6"/>
  <c r="G29" i="6"/>
  <c r="G28" i="6"/>
  <c r="G27" i="6"/>
  <c r="G26" i="6"/>
  <c r="G25" i="6"/>
  <c r="G24" i="6"/>
  <c r="G22" i="6"/>
  <c r="G21" i="6"/>
  <c r="G20" i="6"/>
  <c r="B30" i="6"/>
  <c r="B29" i="6"/>
  <c r="B28" i="6"/>
  <c r="B27" i="6"/>
  <c r="B26" i="6"/>
  <c r="B25" i="6"/>
  <c r="B24" i="6"/>
  <c r="B23" i="6"/>
  <c r="B22" i="6"/>
  <c r="B21" i="6"/>
  <c r="B20" i="6"/>
  <c r="D7" i="1"/>
  <c r="C6" i="1"/>
  <c r="C8" i="1" s="1"/>
  <c r="F17" i="1"/>
  <c r="B19" i="1"/>
  <c r="F18" i="1"/>
  <c r="F19" i="1"/>
  <c r="G19" i="6"/>
  <c r="G18" i="6"/>
  <c r="G17" i="6"/>
  <c r="G16" i="6"/>
  <c r="H16" i="6" s="1"/>
  <c r="G15" i="6"/>
  <c r="G14" i="6"/>
  <c r="G13" i="6"/>
  <c r="G12" i="6"/>
  <c r="G11" i="6"/>
  <c r="G10" i="6"/>
  <c r="B19" i="6"/>
  <c r="B18" i="6"/>
  <c r="B17" i="6"/>
  <c r="B16" i="6"/>
  <c r="B15" i="6"/>
  <c r="B14" i="6"/>
  <c r="B13" i="6"/>
  <c r="B12" i="6"/>
  <c r="B11" i="6"/>
  <c r="B10" i="6"/>
  <c r="B10" i="5"/>
  <c r="G10" i="5"/>
  <c r="F30" i="2"/>
  <c r="F29" i="2"/>
  <c r="F28" i="2"/>
  <c r="F26" i="2"/>
  <c r="C12" i="2"/>
  <c r="D12" i="2" s="1"/>
  <c r="C11" i="2"/>
  <c r="D11" i="2" s="1"/>
  <c r="C10" i="2"/>
  <c r="D10" i="2" s="1"/>
  <c r="C9" i="2"/>
  <c r="D9" i="2" s="1"/>
  <c r="C8" i="2"/>
  <c r="C7" i="2"/>
  <c r="D7" i="2" s="1"/>
  <c r="F27" i="6"/>
  <c r="F23" i="6"/>
  <c r="F22" i="6"/>
  <c r="F21" i="6"/>
  <c r="F17" i="6"/>
  <c r="H17" i="6" s="1"/>
  <c r="F13" i="6"/>
  <c r="F11" i="6"/>
  <c r="C20" i="2"/>
  <c r="F29" i="5"/>
  <c r="F28" i="5"/>
  <c r="F27" i="5"/>
  <c r="F24" i="5"/>
  <c r="F23" i="5"/>
  <c r="F22" i="5"/>
  <c r="F21" i="5"/>
  <c r="F20" i="5"/>
  <c r="F19" i="5"/>
  <c r="F18" i="5"/>
  <c r="F17" i="5"/>
  <c r="F15" i="5"/>
  <c r="F14" i="5"/>
  <c r="H14" i="5" s="1"/>
  <c r="F13" i="5"/>
  <c r="F12" i="5"/>
  <c r="H12" i="5" s="1"/>
  <c r="F11" i="5"/>
  <c r="F10" i="5"/>
  <c r="F30" i="5"/>
  <c r="H26" i="5"/>
  <c r="D8" i="2"/>
  <c r="G17" i="1"/>
  <c r="H18" i="5" l="1"/>
  <c r="F28" i="6"/>
  <c r="H28" i="6" s="1"/>
  <c r="H21" i="5"/>
  <c r="H11" i="6"/>
  <c r="H13" i="5"/>
  <c r="F20" i="6"/>
  <c r="H20" i="6" s="1"/>
  <c r="F24" i="6"/>
  <c r="H24" i="6" s="1"/>
  <c r="F26" i="6"/>
  <c r="H26" i="6" s="1"/>
  <c r="F10" i="6"/>
  <c r="H10" i="6" s="1"/>
  <c r="F12" i="6"/>
  <c r="H12" i="6" s="1"/>
  <c r="F14" i="6"/>
  <c r="F19" i="6"/>
  <c r="H19" i="6" s="1"/>
  <c r="F29" i="6"/>
  <c r="H29" i="6" s="1"/>
  <c r="H10" i="5"/>
  <c r="B4" i="2"/>
  <c r="H22" i="6"/>
  <c r="H25" i="5"/>
  <c r="H13" i="6"/>
  <c r="H11" i="5"/>
  <c r="H30" i="5"/>
  <c r="H27" i="6"/>
  <c r="H15" i="5"/>
  <c r="H23" i="5"/>
  <c r="O30" i="7"/>
  <c r="H22" i="5"/>
  <c r="H19" i="5"/>
  <c r="C19" i="1"/>
  <c r="H13" i="8"/>
  <c r="H24" i="5"/>
  <c r="H18" i="6"/>
  <c r="H29" i="5"/>
  <c r="H14" i="6"/>
  <c r="H27" i="5"/>
  <c r="H25" i="6"/>
  <c r="H21" i="6"/>
  <c r="H20" i="5"/>
  <c r="H17" i="5"/>
  <c r="G18" i="1"/>
  <c r="C4" i="6" s="1"/>
  <c r="F15" i="6"/>
  <c r="H15" i="6" s="1"/>
  <c r="F27" i="2"/>
  <c r="F30" i="6"/>
  <c r="H30" i="6" s="1"/>
  <c r="H23" i="6"/>
  <c r="H11" i="8"/>
  <c r="H24" i="7"/>
  <c r="H25" i="10" s="1"/>
  <c r="F25" i="2"/>
  <c r="G31" i="5"/>
  <c r="H18" i="1"/>
  <c r="C19" i="2"/>
  <c r="C21" i="2" s="1"/>
  <c r="D13" i="2"/>
  <c r="F8" i="1"/>
  <c r="F9" i="1" s="1"/>
  <c r="H30" i="10"/>
  <c r="H30" i="7"/>
  <c r="H31" i="10" l="1"/>
  <c r="E9" i="2"/>
  <c r="F9" i="2" s="1"/>
  <c r="F12" i="9" s="1"/>
  <c r="H31" i="6"/>
  <c r="C5" i="6" s="1"/>
  <c r="C6" i="6" s="1"/>
  <c r="I15" i="6" s="1"/>
  <c r="H31" i="5"/>
  <c r="C5" i="5" s="1"/>
  <c r="G19" i="1"/>
  <c r="D19" i="1"/>
  <c r="C4" i="5"/>
  <c r="H17" i="1"/>
  <c r="H19" i="1" s="1"/>
  <c r="H21" i="1" s="1"/>
  <c r="E10" i="2"/>
  <c r="F10" i="2" s="1"/>
  <c r="H10" i="2" s="1"/>
  <c r="E7" i="2"/>
  <c r="F7" i="2" s="1"/>
  <c r="E11" i="2"/>
  <c r="F11" i="2" s="1"/>
  <c r="F14" i="9" s="1"/>
  <c r="E8" i="2"/>
  <c r="F8" i="2" s="1"/>
  <c r="F11" i="9" s="1"/>
  <c r="E12" i="2"/>
  <c r="F12" i="2" s="1"/>
  <c r="H12" i="2" s="1"/>
  <c r="C6" i="5" l="1"/>
  <c r="I11" i="5" s="1"/>
  <c r="J11" i="10" s="1"/>
  <c r="I27" i="6"/>
  <c r="K27" i="10" s="1"/>
  <c r="I19" i="6"/>
  <c r="K19" i="10" s="1"/>
  <c r="I25" i="6"/>
  <c r="K25" i="6" s="1"/>
  <c r="I10" i="6"/>
  <c r="K10" i="6" s="1"/>
  <c r="I13" i="6"/>
  <c r="K13" i="10" s="1"/>
  <c r="H7" i="2"/>
  <c r="F10" i="9"/>
  <c r="C7" i="8" s="1"/>
  <c r="H11" i="2"/>
  <c r="H9" i="2"/>
  <c r="I18" i="6"/>
  <c r="K18" i="10" s="1"/>
  <c r="I11" i="6"/>
  <c r="K11" i="10" s="1"/>
  <c r="I26" i="6"/>
  <c r="K26" i="6" s="1"/>
  <c r="I12" i="6"/>
  <c r="K12" i="10" s="1"/>
  <c r="I20" i="6"/>
  <c r="K20" i="6" s="1"/>
  <c r="I23" i="6"/>
  <c r="K23" i="10" s="1"/>
  <c r="I16" i="6"/>
  <c r="K16" i="10" s="1"/>
  <c r="I30" i="6"/>
  <c r="K30" i="6" s="1"/>
  <c r="I24" i="6"/>
  <c r="K24" i="6" s="1"/>
  <c r="I17" i="6"/>
  <c r="K17" i="10" s="1"/>
  <c r="I28" i="6"/>
  <c r="K28" i="10" s="1"/>
  <c r="I21" i="6"/>
  <c r="K21" i="10" s="1"/>
  <c r="I14" i="6"/>
  <c r="K14" i="6" s="1"/>
  <c r="I29" i="6"/>
  <c r="K29" i="10" s="1"/>
  <c r="I22" i="6"/>
  <c r="K22" i="10" s="1"/>
  <c r="F13" i="9"/>
  <c r="C10" i="8" s="1"/>
  <c r="F15" i="9"/>
  <c r="C12" i="8" s="1"/>
  <c r="H8" i="2"/>
  <c r="C11" i="8"/>
  <c r="K15" i="10"/>
  <c r="K15" i="6"/>
  <c r="C8" i="8"/>
  <c r="C9" i="8"/>
  <c r="I14" i="5" l="1"/>
  <c r="J14" i="10" s="1"/>
  <c r="I10" i="5"/>
  <c r="J10" i="10" s="1"/>
  <c r="I17" i="5"/>
  <c r="J17" i="10" s="1"/>
  <c r="J16" i="7" s="1"/>
  <c r="I20" i="5"/>
  <c r="J20" i="10" s="1"/>
  <c r="I15" i="5"/>
  <c r="J15" i="10" s="1"/>
  <c r="J14" i="7" s="1"/>
  <c r="I27" i="5"/>
  <c r="J27" i="10" s="1"/>
  <c r="J26" i="7" s="1"/>
  <c r="I21" i="5"/>
  <c r="K21" i="5" s="1"/>
  <c r="I16" i="5"/>
  <c r="J16" i="10" s="1"/>
  <c r="J15" i="7" s="1"/>
  <c r="I26" i="5"/>
  <c r="K26" i="5" s="1"/>
  <c r="K11" i="5"/>
  <c r="I18" i="5"/>
  <c r="K18" i="5" s="1"/>
  <c r="I12" i="5"/>
  <c r="K12" i="5" s="1"/>
  <c r="I22" i="5"/>
  <c r="K22" i="5" s="1"/>
  <c r="I28" i="5"/>
  <c r="K28" i="5" s="1"/>
  <c r="I25" i="5"/>
  <c r="K25" i="5" s="1"/>
  <c r="I23" i="5"/>
  <c r="J23" i="10" s="1"/>
  <c r="J22" i="7" s="1"/>
  <c r="I19" i="5"/>
  <c r="K19" i="5" s="1"/>
  <c r="I13" i="5"/>
  <c r="K13" i="5" s="1"/>
  <c r="I29" i="5"/>
  <c r="K29" i="5" s="1"/>
  <c r="I30" i="5"/>
  <c r="J30" i="10" s="1"/>
  <c r="I24" i="5"/>
  <c r="J24" i="10" s="1"/>
  <c r="K27" i="6"/>
  <c r="K10" i="10"/>
  <c r="K19" i="6"/>
  <c r="K25" i="10"/>
  <c r="K13" i="6"/>
  <c r="K30" i="10"/>
  <c r="K20" i="10"/>
  <c r="J19" i="7" s="1"/>
  <c r="K22" i="6"/>
  <c r="K23" i="6"/>
  <c r="K11" i="6"/>
  <c r="K24" i="10"/>
  <c r="K14" i="10"/>
  <c r="K21" i="6"/>
  <c r="K18" i="6"/>
  <c r="K28" i="6"/>
  <c r="H13" i="2"/>
  <c r="H14" i="2" s="1"/>
  <c r="K16" i="6"/>
  <c r="K12" i="6"/>
  <c r="K26" i="10"/>
  <c r="K17" i="6"/>
  <c r="K29" i="6"/>
  <c r="C13" i="8"/>
  <c r="J10" i="7"/>
  <c r="K10" i="5" l="1"/>
  <c r="J9" i="7"/>
  <c r="K9" i="7" s="1"/>
  <c r="J19" i="10"/>
  <c r="J18" i="7" s="1"/>
  <c r="N18" i="7" s="1"/>
  <c r="J28" i="10"/>
  <c r="J27" i="7" s="1"/>
  <c r="N27" i="7" s="1"/>
  <c r="K14" i="5"/>
  <c r="J13" i="7"/>
  <c r="N13" i="7" s="1"/>
  <c r="K16" i="5"/>
  <c r="K17" i="5"/>
  <c r="J13" i="10"/>
  <c r="J12" i="7" s="1"/>
  <c r="K12" i="7" s="1"/>
  <c r="K15" i="5"/>
  <c r="K20" i="5"/>
  <c r="J26" i="10"/>
  <c r="J25" i="7" s="1"/>
  <c r="N25" i="7" s="1"/>
  <c r="J21" i="10"/>
  <c r="J20" i="7" s="1"/>
  <c r="K20" i="7" s="1"/>
  <c r="K27" i="5"/>
  <c r="J18" i="10"/>
  <c r="J17" i="7" s="1"/>
  <c r="N17" i="7" s="1"/>
  <c r="K24" i="5"/>
  <c r="J22" i="10"/>
  <c r="J21" i="7" s="1"/>
  <c r="N21" i="7" s="1"/>
  <c r="K30" i="5"/>
  <c r="J29" i="7"/>
  <c r="N29" i="7" s="1"/>
  <c r="J12" i="10"/>
  <c r="J11" i="7" s="1"/>
  <c r="K11" i="7" s="1"/>
  <c r="K23" i="5"/>
  <c r="J25" i="10"/>
  <c r="J24" i="7" s="1"/>
  <c r="N24" i="7" s="1"/>
  <c r="J29" i="10"/>
  <c r="J28" i="7" s="1"/>
  <c r="K28" i="7" s="1"/>
  <c r="K31" i="10"/>
  <c r="J23" i="7"/>
  <c r="K23" i="7" s="1"/>
  <c r="K31" i="6"/>
  <c r="N14" i="7"/>
  <c r="K14" i="7"/>
  <c r="N15" i="7"/>
  <c r="K15" i="7"/>
  <c r="K26" i="7"/>
  <c r="N26" i="7"/>
  <c r="K19" i="7"/>
  <c r="N19" i="7"/>
  <c r="N10" i="7"/>
  <c r="K10" i="7"/>
  <c r="K16" i="7"/>
  <c r="N16" i="7"/>
  <c r="N22" i="7"/>
  <c r="K22" i="7"/>
  <c r="N9" i="7" l="1"/>
  <c r="N12" i="7"/>
  <c r="K21" i="7"/>
  <c r="K18" i="7"/>
  <c r="K27" i="7"/>
  <c r="K13" i="7"/>
  <c r="N11" i="7"/>
  <c r="K29" i="7"/>
  <c r="N20" i="7"/>
  <c r="K31" i="5"/>
  <c r="K17" i="7"/>
  <c r="N28" i="7"/>
  <c r="J31" i="10"/>
  <c r="K24" i="7"/>
  <c r="K25" i="7"/>
  <c r="N23" i="7"/>
  <c r="K30" i="7" l="1"/>
  <c r="D29" i="2"/>
  <c r="E29" i="2"/>
  <c r="D26" i="2"/>
  <c r="E26" i="2"/>
  <c r="G26" i="2"/>
  <c r="D30" i="2"/>
  <c r="E30" i="2"/>
  <c r="G30" i="2"/>
  <c r="D27" i="2"/>
  <c r="E27" i="2"/>
  <c r="G27" i="2" s="1"/>
  <c r="D28" i="2"/>
  <c r="E28" i="2" s="1"/>
  <c r="G28" i="2" l="1"/>
  <c r="G29" i="2"/>
  <c r="D25" i="2"/>
  <c r="E25" i="2"/>
  <c r="G25" i="2" l="1"/>
  <c r="G31" i="2" s="1"/>
  <c r="C22" i="2" s="1"/>
  <c r="H27" i="2" l="1"/>
  <c r="H29" i="2"/>
  <c r="H26" i="2"/>
  <c r="H28" i="2"/>
  <c r="H30" i="2"/>
  <c r="H25" i="2"/>
  <c r="G10" i="9" l="1"/>
  <c r="I25" i="2"/>
  <c r="I30" i="2"/>
  <c r="G15" i="9"/>
  <c r="G13" i="9"/>
  <c r="I28" i="2"/>
  <c r="G11" i="9"/>
  <c r="I26" i="2"/>
  <c r="I29" i="2"/>
  <c r="G14" i="9"/>
  <c r="I27" i="2"/>
  <c r="G12" i="9"/>
  <c r="I8" i="8" l="1"/>
  <c r="D8" i="8"/>
  <c r="D22" i="8"/>
  <c r="I31" i="2"/>
  <c r="I32" i="2" s="1"/>
  <c r="D23" i="8"/>
  <c r="D9" i="8"/>
  <c r="I9" i="8"/>
  <c r="D11" i="8"/>
  <c r="I11" i="8"/>
  <c r="D25" i="8"/>
  <c r="I10" i="8"/>
  <c r="D24" i="8"/>
  <c r="D10" i="8"/>
  <c r="I12" i="8"/>
  <c r="D26" i="8"/>
  <c r="D12" i="8"/>
  <c r="D7" i="8"/>
  <c r="I7" i="8"/>
  <c r="D21" i="8"/>
  <c r="F8" i="8" l="1"/>
  <c r="E8" i="8"/>
  <c r="F24" i="8"/>
  <c r="G24" i="8" s="1"/>
  <c r="I24" i="8" s="1"/>
  <c r="F25" i="8"/>
  <c r="G25" i="8" s="1"/>
  <c r="I25" i="8" s="1"/>
  <c r="E11" i="8"/>
  <c r="F11" i="8"/>
  <c r="F21" i="8"/>
  <c r="G21" i="8" s="1"/>
  <c r="I21" i="8" s="1"/>
  <c r="F9" i="8"/>
  <c r="E9" i="8"/>
  <c r="F7" i="8"/>
  <c r="E7" i="8"/>
  <c r="D13" i="8"/>
  <c r="E13" i="8" s="1"/>
  <c r="F23" i="8"/>
  <c r="G23" i="8" s="1"/>
  <c r="I23" i="8" s="1"/>
  <c r="E12" i="8"/>
  <c r="F12" i="8"/>
  <c r="F26" i="8"/>
  <c r="G26" i="8" s="1"/>
  <c r="I26" i="8" s="1"/>
  <c r="F22" i="8"/>
  <c r="G22" i="8" s="1"/>
  <c r="I22" i="8" s="1"/>
  <c r="F10" i="8"/>
  <c r="E10" i="8"/>
  <c r="F13" i="8" l="1"/>
  <c r="G10" i="8" s="1"/>
  <c r="G8" i="8" l="1"/>
  <c r="G7" i="8"/>
  <c r="G12" i="8"/>
  <c r="G9" i="8"/>
  <c r="G11" i="8"/>
  <c r="G13" i="8" l="1"/>
</calcChain>
</file>

<file path=xl/sharedStrings.xml><?xml version="1.0" encoding="utf-8"?>
<sst xmlns="http://schemas.openxmlformats.org/spreadsheetml/2006/main" count="198" uniqueCount="124">
  <si>
    <t>Costi fissi</t>
  </si>
  <si>
    <t>QTnd</t>
  </si>
  <si>
    <t>Ud</t>
  </si>
  <si>
    <t>%</t>
  </si>
  <si>
    <t>Und</t>
  </si>
  <si>
    <t>Utenze</t>
  </si>
  <si>
    <t>Ctuf:</t>
  </si>
  <si>
    <t>TFd</t>
  </si>
  <si>
    <t>n</t>
  </si>
  <si>
    <t>Ka</t>
  </si>
  <si>
    <t>Sot(n)</t>
  </si>
  <si>
    <t>Ka.Stot(n)</t>
  </si>
  <si>
    <t>Quf</t>
  </si>
  <si>
    <t>Quf.Ka(n)</t>
  </si>
  <si>
    <t>Gettito</t>
  </si>
  <si>
    <t>6 o più</t>
  </si>
  <si>
    <t>Totale</t>
  </si>
  <si>
    <t>Qtot (kg)</t>
  </si>
  <si>
    <t>CVd (€)</t>
  </si>
  <si>
    <t>Cu (€/kg)</t>
  </si>
  <si>
    <t>Kb min</t>
  </si>
  <si>
    <t>Kb max</t>
  </si>
  <si>
    <t>Ps</t>
  </si>
  <si>
    <t>Kb(n)</t>
  </si>
  <si>
    <t>N(n)</t>
  </si>
  <si>
    <t>Kb(n).N(n)</t>
  </si>
  <si>
    <t>Quv</t>
  </si>
  <si>
    <t>Qapf</t>
  </si>
  <si>
    <t>Inserire % di aumento per utenze giornaliere (fino a 100%)</t>
  </si>
  <si>
    <t>TARIFFE</t>
  </si>
  <si>
    <t>Attività</t>
  </si>
  <si>
    <t>Kc</t>
  </si>
  <si>
    <t>Stot(ap)</t>
  </si>
  <si>
    <t>Stot(ap).Kc</t>
  </si>
  <si>
    <t>TF(ap)</t>
  </si>
  <si>
    <t>Musei, biblioteche, scuole, associazioni, luoghi di culto</t>
  </si>
  <si>
    <t>Stabilimenti balneari</t>
  </si>
  <si>
    <t>Esposizioni, autosaloni</t>
  </si>
  <si>
    <t>Alberghi con ristorante</t>
  </si>
  <si>
    <t>Alberghi senza ristorante</t>
  </si>
  <si>
    <t>Case di cura e riposo</t>
  </si>
  <si>
    <t>Uffici, agenzie, studi professionali</t>
  </si>
  <si>
    <t>Negozi abbigliamento, calzature, libreria, cartoleria, ferramenta, e altri beni durevoli</t>
  </si>
  <si>
    <t>Carrozzeria, autofficina, elettrauto</t>
  </si>
  <si>
    <t>Attività industriali con capannoni di produzione</t>
  </si>
  <si>
    <t>Attività artigianali di produzione beni specifici</t>
  </si>
  <si>
    <t>Bar, caffè, pasticceria</t>
  </si>
  <si>
    <t>Supermercato, pane e pasta, macelleria, salumi e formaggi, generi alimentari</t>
  </si>
  <si>
    <t>Campeggi, distributori carburanti, impianti sportivi</t>
  </si>
  <si>
    <t>Ristoranti, trattorie, osterie, pizzerie, mense, pub, birrerie</t>
  </si>
  <si>
    <t xml:space="preserve">Plurilicenze alimentari e/o miste </t>
  </si>
  <si>
    <t>Discoteche, night-club</t>
  </si>
  <si>
    <t>Ctapf</t>
  </si>
  <si>
    <t>TARIFFE UTENZE DOMESTICHE - PARTE FISSA</t>
  </si>
  <si>
    <t>TARIFFE UTENZE DOMESTICHE - PARTE VARIABILE</t>
  </si>
  <si>
    <t>Kd</t>
  </si>
  <si>
    <t>Cu</t>
  </si>
  <si>
    <t>CVnd</t>
  </si>
  <si>
    <t>TARIFFE UTENZE NON DOMESTICHE - PARTE FISSA</t>
  </si>
  <si>
    <t>TVd</t>
  </si>
  <si>
    <t>DATI DELLE UTENZE DOMESTICHE</t>
  </si>
  <si>
    <t>DATI DELLE UTENZE NON DOMESTICHE</t>
  </si>
  <si>
    <t>n.</t>
  </si>
  <si>
    <t>DATI GENERALI</t>
  </si>
  <si>
    <t>inserire</t>
  </si>
  <si>
    <t>kg</t>
  </si>
  <si>
    <t>Riduz. Rd Ud</t>
  </si>
  <si>
    <t>RIFIUTI</t>
  </si>
  <si>
    <t>Costi var.</t>
  </si>
  <si>
    <t>Costi var. corr.</t>
  </si>
  <si>
    <t xml:space="preserve">COSTI </t>
  </si>
  <si>
    <t>Stot(n)</t>
  </si>
  <si>
    <t>DISTRIBUZIONE DATI</t>
  </si>
  <si>
    <t>Riduz. Rd Ud       €</t>
  </si>
  <si>
    <t xml:space="preserve">%  aumento utenze giornaliere </t>
  </si>
  <si>
    <t>Qnd</t>
  </si>
  <si>
    <t>Variabile €</t>
  </si>
  <si>
    <t>Fisso €/mq</t>
  </si>
  <si>
    <t>Variab. €/mq</t>
  </si>
  <si>
    <t>Tasso inflaz. Ip</t>
  </si>
  <si>
    <t>Recup. Prod. Xn</t>
  </si>
  <si>
    <t>Costi variabili</t>
  </si>
  <si>
    <t>Costi fissi no K n-1</t>
  </si>
  <si>
    <t>CKn</t>
  </si>
  <si>
    <t>Costi variab n-1</t>
  </si>
  <si>
    <t>TOTALE</t>
  </si>
  <si>
    <t xml:space="preserve">Costi fissi no K </t>
  </si>
  <si>
    <t>Banche ed istituti di credito</t>
  </si>
  <si>
    <t>Edicola, farmacia, tabaccaio, plurilicenze</t>
  </si>
  <si>
    <t>Attività artigianali tipo botteghe: falegname, idraulico, fabbro, elettricista, parrucc.</t>
  </si>
  <si>
    <t>Ortofrutta, pescherie, fiori e piante</t>
  </si>
  <si>
    <t>Costi da coprire</t>
  </si>
  <si>
    <t>Comuni fino a 5.000 abitanti NORD</t>
  </si>
  <si>
    <t>Kc min.</t>
  </si>
  <si>
    <t>Kd max.</t>
  </si>
  <si>
    <t>Kd min.</t>
  </si>
  <si>
    <t>ESEMPI</t>
  </si>
  <si>
    <t>MQ</t>
  </si>
  <si>
    <t>5% (tefa)</t>
  </si>
  <si>
    <t>Mq medi</t>
  </si>
  <si>
    <t>0,3 Stato</t>
  </si>
  <si>
    <t>Tariffa Totale</t>
  </si>
  <si>
    <t>GT CATEGORIA</t>
  </si>
  <si>
    <t xml:space="preserve">TARIFFE UTENZE NON DOMESTICHE </t>
  </si>
  <si>
    <t>TARIFFE UTENZE NON DOMESTICHE</t>
  </si>
  <si>
    <t xml:space="preserve">TARIFFE UTENZE DOMESTICHE </t>
  </si>
  <si>
    <t>Totale Rifiuti         kg</t>
  </si>
  <si>
    <t>TARIFFE UTENZE NON DOMESTICHE - VARIABILE</t>
  </si>
  <si>
    <t>Delta</t>
  </si>
  <si>
    <t xml:space="preserve">ESEMPI COSTO TOTALE </t>
  </si>
  <si>
    <t>delta</t>
  </si>
  <si>
    <t>PF</t>
  </si>
  <si>
    <t>PV</t>
  </si>
  <si>
    <t>Pf+Pv/mq</t>
  </si>
  <si>
    <t>TARI MEDIA</t>
  </si>
  <si>
    <t>Tari media</t>
  </si>
  <si>
    <t>ELABORAZIONE TARIFFA  Rifiuti COMUNE DI SAN BASSANO</t>
  </si>
  <si>
    <t>PROSPETTO DI CALCOLO DELLE TARIFFE SAN BASSANO</t>
  </si>
  <si>
    <t xml:space="preserve">Anno </t>
  </si>
  <si>
    <t>TARIFFE 2026</t>
  </si>
  <si>
    <t>TARIFFE 2025</t>
  </si>
  <si>
    <t>Tariffe 2026</t>
  </si>
  <si>
    <t>Tariffe 2025</t>
  </si>
  <si>
    <t>GT CATEGORIA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</si>
</sst>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0.000"/>
    <numFmt numFmtId="167" formatCode="#,##0.000"/>
    <numFmt numFmtId="168" formatCode="#,##0.00_ ;\-#,##0.00\ "/>
    <numFmt numFmtId="169" formatCode="_-&quot;€&quot;\ * #,##0.000_-;\-&quot;€&quot;\ * #,##0.000_-;_-&quot;€&quot;\ * &quot;-&quot;???_-;_-@_-"/>
    <numFmt numFmtId="170" formatCode="_-* #,##0.00000_-;\-* #,##0.00000_-;_-* &quot;-&quot;??_-;_-@_-"/>
    <numFmt numFmtId="171" formatCode="#,##0.000000"/>
    <numFmt numFmtId="172" formatCode="0.0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i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15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165" fontId="0" fillId="4" borderId="4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/>
    <xf numFmtId="4" fontId="0" fillId="0" borderId="14" xfId="0" applyNumberFormat="1" applyBorder="1"/>
    <xf numFmtId="166" fontId="0" fillId="0" borderId="14" xfId="0" applyNumberFormat="1" applyBorder="1"/>
    <xf numFmtId="166" fontId="0" fillId="3" borderId="4" xfId="0" applyNumberFormat="1" applyFill="1" applyBorder="1"/>
    <xf numFmtId="165" fontId="0" fillId="0" borderId="4" xfId="0" applyNumberFormat="1" applyBorder="1"/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/>
    <xf numFmtId="166" fontId="0" fillId="0" borderId="4" xfId="0" applyNumberFormat="1" applyBorder="1"/>
    <xf numFmtId="0" fontId="1" fillId="0" borderId="0" xfId="0" applyFont="1" applyAlignment="1">
      <alignment horizontal="right"/>
    </xf>
    <xf numFmtId="0" fontId="1" fillId="0" borderId="0" xfId="0" applyFont="1"/>
    <xf numFmtId="165" fontId="1" fillId="0" borderId="0" xfId="0" applyNumberFormat="1" applyFont="1"/>
    <xf numFmtId="165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" fillId="0" borderId="15" xfId="0" applyFont="1" applyBorder="1"/>
    <xf numFmtId="165" fontId="0" fillId="0" borderId="4" xfId="0" applyNumberFormat="1" applyBorder="1" applyAlignment="1">
      <alignment horizontal="right"/>
    </xf>
    <xf numFmtId="9" fontId="0" fillId="6" borderId="0" xfId="0" applyNumberFormat="1" applyFill="1"/>
    <xf numFmtId="0" fontId="0" fillId="0" borderId="16" xfId="0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8" borderId="16" xfId="0" applyFont="1" applyFill="1" applyBorder="1" applyAlignment="1">
      <alignment horizontal="center"/>
    </xf>
    <xf numFmtId="0" fontId="0" fillId="0" borderId="17" xfId="0" applyBorder="1" applyAlignment="1">
      <alignment vertical="top" wrapText="1"/>
    </xf>
    <xf numFmtId="9" fontId="0" fillId="7" borderId="17" xfId="0" applyNumberFormat="1" applyFill="1" applyBorder="1"/>
    <xf numFmtId="166" fontId="0" fillId="0" borderId="17" xfId="0" applyNumberFormat="1" applyBorder="1"/>
    <xf numFmtId="2" fontId="0" fillId="0" borderId="17" xfId="0" applyNumberFormat="1" applyBorder="1"/>
    <xf numFmtId="166" fontId="0" fillId="0" borderId="18" xfId="0" applyNumberFormat="1" applyBorder="1"/>
    <xf numFmtId="2" fontId="0" fillId="0" borderId="18" xfId="0" applyNumberFormat="1" applyBorder="1"/>
    <xf numFmtId="0" fontId="0" fillId="0" borderId="0" xfId="0" applyAlignment="1">
      <alignment wrapText="1"/>
    </xf>
    <xf numFmtId="4" fontId="0" fillId="0" borderId="17" xfId="0" applyNumberFormat="1" applyBorder="1"/>
    <xf numFmtId="4" fontId="0" fillId="0" borderId="18" xfId="0" applyNumberFormat="1" applyBorder="1"/>
    <xf numFmtId="0" fontId="6" fillId="0" borderId="19" xfId="0" applyFont="1" applyBorder="1" applyAlignment="1">
      <alignment vertical="top" wrapText="1"/>
    </xf>
    <xf numFmtId="3" fontId="0" fillId="0" borderId="0" xfId="0" applyNumberFormat="1"/>
    <xf numFmtId="4" fontId="5" fillId="0" borderId="0" xfId="0" applyNumberFormat="1" applyFont="1"/>
    <xf numFmtId="9" fontId="2" fillId="9" borderId="14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5" fontId="0" fillId="0" borderId="0" xfId="0" applyNumberFormat="1" applyAlignment="1">
      <alignment horizontal="right"/>
    </xf>
    <xf numFmtId="0" fontId="8" fillId="0" borderId="0" xfId="0" applyFont="1"/>
    <xf numFmtId="4" fontId="0" fillId="8" borderId="17" xfId="0" applyNumberFormat="1" applyFill="1" applyBorder="1"/>
    <xf numFmtId="0" fontId="2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 wrapText="1"/>
    </xf>
    <xf numFmtId="0" fontId="3" fillId="0" borderId="0" xfId="0" applyFont="1"/>
    <xf numFmtId="4" fontId="2" fillId="0" borderId="14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4" fontId="1" fillId="0" borderId="0" xfId="0" applyNumberFormat="1" applyFont="1"/>
    <xf numFmtId="0" fontId="3" fillId="0" borderId="0" xfId="0" applyFont="1" applyAlignment="1">
      <alignment horizontal="right"/>
    </xf>
    <xf numFmtId="168" fontId="0" fillId="0" borderId="0" xfId="0" applyNumberFormat="1" applyAlignment="1">
      <alignment horizontal="right"/>
    </xf>
    <xf numFmtId="4" fontId="0" fillId="11" borderId="14" xfId="0" applyNumberFormat="1" applyFill="1" applyBorder="1"/>
    <xf numFmtId="169" fontId="0" fillId="8" borderId="4" xfId="0" applyNumberFormat="1" applyFill="1" applyBorder="1"/>
    <xf numFmtId="169" fontId="0" fillId="0" borderId="0" xfId="0" applyNumberFormat="1"/>
    <xf numFmtId="165" fontId="1" fillId="0" borderId="0" xfId="0" applyNumberFormat="1" applyFont="1" applyAlignment="1">
      <alignment horizontal="right"/>
    </xf>
    <xf numFmtId="9" fontId="0" fillId="0" borderId="0" xfId="0" applyNumberFormat="1"/>
    <xf numFmtId="0" fontId="9" fillId="0" borderId="0" xfId="0" applyFont="1"/>
    <xf numFmtId="0" fontId="2" fillId="0" borderId="7" xfId="0" applyFont="1" applyBorder="1" applyAlignment="1">
      <alignment horizontal="center"/>
    </xf>
    <xf numFmtId="167" fontId="2" fillId="0" borderId="14" xfId="0" applyNumberFormat="1" applyFont="1" applyBorder="1"/>
    <xf numFmtId="9" fontId="2" fillId="11" borderId="14" xfId="0" applyNumberFormat="1" applyFont="1" applyFill="1" applyBorder="1" applyAlignment="1">
      <alignment horizontal="center" vertical="center" wrapText="1"/>
    </xf>
    <xf numFmtId="167" fontId="0" fillId="3" borderId="17" xfId="0" applyNumberFormat="1" applyFill="1" applyBorder="1"/>
    <xf numFmtId="167" fontId="0" fillId="3" borderId="18" xfId="0" applyNumberFormat="1" applyFill="1" applyBorder="1"/>
    <xf numFmtId="0" fontId="2" fillId="0" borderId="1" xfId="0" applyFont="1" applyBorder="1" applyAlignment="1">
      <alignment horizontal="center"/>
    </xf>
    <xf numFmtId="3" fontId="2" fillId="0" borderId="14" xfId="0" applyNumberFormat="1" applyFont="1" applyBorder="1"/>
    <xf numFmtId="3" fontId="2" fillId="0" borderId="4" xfId="0" applyNumberFormat="1" applyFont="1" applyBorder="1"/>
    <xf numFmtId="166" fontId="0" fillId="8" borderId="18" xfId="0" applyNumberFormat="1" applyFill="1" applyBorder="1"/>
    <xf numFmtId="2" fontId="0" fillId="8" borderId="18" xfId="0" applyNumberFormat="1" applyFill="1" applyBorder="1"/>
    <xf numFmtId="2" fontId="0" fillId="0" borderId="1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/>
    </xf>
    <xf numFmtId="43" fontId="2" fillId="0" borderId="14" xfId="1" applyFont="1" applyBorder="1"/>
    <xf numFmtId="0" fontId="2" fillId="0" borderId="7" xfId="0" applyFont="1" applyBorder="1"/>
    <xf numFmtId="0" fontId="2" fillId="0" borderId="8" xfId="0" applyFont="1" applyBorder="1"/>
    <xf numFmtId="43" fontId="2" fillId="0" borderId="8" xfId="0" applyNumberFormat="1" applyFont="1" applyBorder="1"/>
    <xf numFmtId="43" fontId="2" fillId="3" borderId="4" xfId="1" applyFont="1" applyFill="1" applyBorder="1"/>
    <xf numFmtId="43" fontId="2" fillId="0" borderId="14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0" borderId="30" xfId="1" applyFont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43" fontId="2" fillId="0" borderId="8" xfId="1" applyFont="1" applyBorder="1"/>
    <xf numFmtId="2" fontId="2" fillId="3" borderId="4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0" fontId="1" fillId="11" borderId="23" xfId="0" applyFont="1" applyFill="1" applyBorder="1" applyAlignment="1">
      <alignment horizontal="center"/>
    </xf>
    <xf numFmtId="9" fontId="2" fillId="0" borderId="0" xfId="0" applyNumberFormat="1" applyFon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4" fontId="0" fillId="10" borderId="17" xfId="0" applyNumberFormat="1" applyFill="1" applyBorder="1"/>
    <xf numFmtId="9" fontId="0" fillId="10" borderId="17" xfId="0" applyNumberFormat="1" applyFill="1" applyBorder="1"/>
    <xf numFmtId="3" fontId="0" fillId="10" borderId="17" xfId="0" applyNumberFormat="1" applyFill="1" applyBorder="1" applyAlignment="1">
      <alignment horizontal="center"/>
    </xf>
    <xf numFmtId="3" fontId="0" fillId="10" borderId="18" xfId="0" applyNumberForma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3" fontId="2" fillId="0" borderId="1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0" fillId="0" borderId="40" xfId="0" applyBorder="1"/>
    <xf numFmtId="0" fontId="0" fillId="0" borderId="15" xfId="0" applyBorder="1" applyAlignment="1">
      <alignment vertical="center" wrapText="1"/>
    </xf>
    <xf numFmtId="165" fontId="0" fillId="0" borderId="15" xfId="3" applyFont="1" applyBorder="1"/>
    <xf numFmtId="0" fontId="0" fillId="0" borderId="15" xfId="0" applyBorder="1"/>
    <xf numFmtId="0" fontId="0" fillId="0" borderId="41" xfId="0" applyBorder="1" applyAlignment="1">
      <alignment vertical="center" wrapText="1"/>
    </xf>
    <xf numFmtId="0" fontId="0" fillId="0" borderId="42" xfId="0" applyBorder="1"/>
    <xf numFmtId="165" fontId="0" fillId="0" borderId="0" xfId="3" applyFont="1" applyBorder="1"/>
    <xf numFmtId="0" fontId="0" fillId="0" borderId="43" xfId="0" applyBorder="1"/>
    <xf numFmtId="1" fontId="1" fillId="3" borderId="1" xfId="1" applyNumberFormat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1" fontId="0" fillId="0" borderId="0" xfId="1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1" fillId="0" borderId="45" xfId="0" applyFont="1" applyBorder="1" applyAlignment="1">
      <alignment horizontal="center" vertical="center"/>
    </xf>
    <xf numFmtId="0" fontId="0" fillId="0" borderId="46" xfId="0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43" fontId="0" fillId="0" borderId="0" xfId="0" applyNumberFormat="1"/>
    <xf numFmtId="0" fontId="10" fillId="11" borderId="0" xfId="0" applyFont="1" applyFill="1"/>
    <xf numFmtId="0" fontId="11" fillId="11" borderId="0" xfId="0" applyFont="1" applyFill="1"/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67" fontId="2" fillId="0" borderId="48" xfId="0" applyNumberFormat="1" applyFont="1" applyBorder="1"/>
    <xf numFmtId="4" fontId="2" fillId="0" borderId="49" xfId="0" applyNumberFormat="1" applyFont="1" applyBorder="1"/>
    <xf numFmtId="167" fontId="2" fillId="0" borderId="50" xfId="0" applyNumberFormat="1" applyFont="1" applyBorder="1"/>
    <xf numFmtId="4" fontId="2" fillId="0" borderId="51" xfId="0" applyNumberFormat="1" applyFont="1" applyBorder="1"/>
    <xf numFmtId="167" fontId="2" fillId="0" borderId="51" xfId="0" applyNumberFormat="1" applyFont="1" applyBorder="1"/>
    <xf numFmtId="43" fontId="2" fillId="0" borderId="51" xfId="1" applyFont="1" applyBorder="1"/>
    <xf numFmtId="4" fontId="2" fillId="0" borderId="52" xfId="0" applyNumberFormat="1" applyFont="1" applyBorder="1"/>
    <xf numFmtId="0" fontId="15" fillId="0" borderId="22" xfId="0" applyFont="1" applyBorder="1"/>
    <xf numFmtId="0" fontId="15" fillId="0" borderId="3" xfId="0" applyFont="1" applyBorder="1"/>
    <xf numFmtId="0" fontId="15" fillId="0" borderId="2" xfId="0" applyFont="1" applyBorder="1"/>
    <xf numFmtId="170" fontId="0" fillId="10" borderId="17" xfId="1" applyNumberFormat="1" applyFont="1" applyFill="1" applyBorder="1"/>
    <xf numFmtId="170" fontId="0" fillId="10" borderId="18" xfId="1" applyNumberFormat="1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4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/>
    <xf numFmtId="0" fontId="2" fillId="0" borderId="0" xfId="0" applyFont="1" applyAlignment="1">
      <alignment horizontal="center"/>
    </xf>
    <xf numFmtId="167" fontId="2" fillId="0" borderId="0" xfId="0" applyNumberFormat="1" applyFont="1"/>
    <xf numFmtId="4" fontId="2" fillId="0" borderId="0" xfId="0" applyNumberFormat="1" applyFont="1"/>
    <xf numFmtId="0" fontId="6" fillId="0" borderId="56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vertical="top" wrapText="1"/>
    </xf>
    <xf numFmtId="0" fontId="6" fillId="0" borderId="58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6" fillId="0" borderId="31" xfId="0" applyFont="1" applyBorder="1" applyAlignment="1">
      <alignment vertical="top" wrapText="1"/>
    </xf>
    <xf numFmtId="2" fontId="7" fillId="0" borderId="31" xfId="0" applyNumberFormat="1" applyFont="1" applyBorder="1" applyAlignment="1">
      <alignment horizontal="center" vertical="top" wrapText="1"/>
    </xf>
    <xf numFmtId="9" fontId="0" fillId="7" borderId="31" xfId="0" applyNumberFormat="1" applyFill="1" applyBorder="1"/>
    <xf numFmtId="166" fontId="0" fillId="0" borderId="31" xfId="0" applyNumberFormat="1" applyBorder="1"/>
    <xf numFmtId="3" fontId="0" fillId="3" borderId="31" xfId="0" applyNumberFormat="1" applyFill="1" applyBorder="1"/>
    <xf numFmtId="3" fontId="0" fillId="0" borderId="31" xfId="0" applyNumberFormat="1" applyBorder="1"/>
    <xf numFmtId="4" fontId="0" fillId="0" borderId="31" xfId="0" applyNumberFormat="1" applyBorder="1"/>
    <xf numFmtId="166" fontId="0" fillId="10" borderId="31" xfId="0" applyNumberFormat="1" applyFill="1" applyBorder="1"/>
    <xf numFmtId="166" fontId="0" fillId="8" borderId="31" xfId="0" applyNumberFormat="1" applyFill="1" applyBorder="1"/>
    <xf numFmtId="0" fontId="0" fillId="0" borderId="31" xfId="0" applyBorder="1"/>
    <xf numFmtId="3" fontId="1" fillId="0" borderId="31" xfId="0" applyNumberFormat="1" applyFont="1" applyBorder="1"/>
    <xf numFmtId="4" fontId="1" fillId="0" borderId="31" xfId="0" applyNumberFormat="1" applyFont="1" applyBorder="1"/>
    <xf numFmtId="3" fontId="1" fillId="0" borderId="31" xfId="0" applyNumberFormat="1" applyFont="1" applyBorder="1" applyAlignment="1">
      <alignment horizontal="right"/>
    </xf>
    <xf numFmtId="2" fontId="1" fillId="0" borderId="31" xfId="0" applyNumberFormat="1" applyFont="1" applyBorder="1"/>
    <xf numFmtId="0" fontId="4" fillId="0" borderId="2" xfId="0" applyFont="1" applyBorder="1"/>
    <xf numFmtId="0" fontId="2" fillId="0" borderId="22" xfId="0" applyFont="1" applyBorder="1"/>
    <xf numFmtId="0" fontId="12" fillId="0" borderId="22" xfId="0" applyFont="1" applyBorder="1"/>
    <xf numFmtId="0" fontId="2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14" xfId="0" applyFont="1" applyBorder="1"/>
    <xf numFmtId="10" fontId="2" fillId="0" borderId="14" xfId="0" applyNumberFormat="1" applyFont="1" applyBorder="1" applyAlignment="1">
      <alignment horizontal="center"/>
    </xf>
    <xf numFmtId="10" fontId="2" fillId="0" borderId="0" xfId="4" applyNumberFormat="1" applyFont="1" applyFill="1"/>
    <xf numFmtId="9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/>
    <xf numFmtId="0" fontId="2" fillId="0" borderId="4" xfId="0" applyFont="1" applyBorder="1"/>
    <xf numFmtId="10" fontId="2" fillId="0" borderId="4" xfId="0" applyNumberFormat="1" applyFont="1" applyBorder="1" applyAlignment="1">
      <alignment horizontal="center"/>
    </xf>
    <xf numFmtId="0" fontId="2" fillId="0" borderId="29" xfId="0" applyFont="1" applyBorder="1"/>
    <xf numFmtId="4" fontId="3" fillId="0" borderId="4" xfId="0" applyNumberFormat="1" applyFont="1" applyBorder="1"/>
    <xf numFmtId="0" fontId="3" fillId="0" borderId="4" xfId="0" applyFont="1" applyBorder="1"/>
    <xf numFmtId="0" fontId="2" fillId="0" borderId="4" xfId="0" applyFont="1" applyBorder="1" applyAlignment="1">
      <alignment horizontal="left"/>
    </xf>
    <xf numFmtId="10" fontId="2" fillId="0" borderId="14" xfId="0" applyNumberFormat="1" applyFont="1" applyBorder="1"/>
    <xf numFmtId="10" fontId="2" fillId="0" borderId="4" xfId="0" applyNumberFormat="1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5" fontId="2" fillId="0" borderId="14" xfId="0" applyNumberFormat="1" applyFont="1" applyBorder="1"/>
    <xf numFmtId="165" fontId="3" fillId="0" borderId="14" xfId="0" applyNumberFormat="1" applyFont="1" applyBorder="1"/>
    <xf numFmtId="165" fontId="2" fillId="0" borderId="4" xfId="0" applyNumberFormat="1" applyFont="1" applyBorder="1"/>
    <xf numFmtId="165" fontId="3" fillId="0" borderId="4" xfId="0" applyNumberFormat="1" applyFont="1" applyBorder="1"/>
    <xf numFmtId="3" fontId="3" fillId="0" borderId="4" xfId="0" applyNumberFormat="1" applyFont="1" applyBorder="1"/>
    <xf numFmtId="165" fontId="2" fillId="0" borderId="0" xfId="0" applyNumberFormat="1" applyFont="1"/>
    <xf numFmtId="4" fontId="3" fillId="0" borderId="0" xfId="0" applyNumberFormat="1" applyFont="1"/>
    <xf numFmtId="9" fontId="0" fillId="0" borderId="17" xfId="0" applyNumberFormat="1" applyBorder="1"/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9" fontId="0" fillId="0" borderId="28" xfId="0" applyNumberFormat="1" applyBorder="1"/>
    <xf numFmtId="3" fontId="0" fillId="0" borderId="61" xfId="0" applyNumberFormat="1" applyBorder="1" applyAlignment="1">
      <alignment horizontal="center"/>
    </xf>
    <xf numFmtId="167" fontId="2" fillId="0" borderId="30" xfId="0" applyNumberFormat="1" applyFont="1" applyBorder="1"/>
    <xf numFmtId="4" fontId="18" fillId="0" borderId="0" xfId="0" applyNumberFormat="1" applyFont="1"/>
    <xf numFmtId="0" fontId="19" fillId="0" borderId="0" xfId="0" applyFont="1"/>
    <xf numFmtId="10" fontId="19" fillId="0" borderId="0" xfId="4" applyNumberFormat="1" applyFont="1" applyFill="1"/>
    <xf numFmtId="10" fontId="19" fillId="0" borderId="0" xfId="0" applyNumberFormat="1" applyFont="1"/>
    <xf numFmtId="4" fontId="19" fillId="0" borderId="0" xfId="0" applyNumberFormat="1" applyFont="1"/>
    <xf numFmtId="4" fontId="20" fillId="0" borderId="4" xfId="0" applyNumberFormat="1" applyFont="1" applyBorder="1"/>
    <xf numFmtId="171" fontId="2" fillId="0" borderId="14" xfId="0" applyNumberFormat="1" applyFont="1" applyBorder="1"/>
    <xf numFmtId="4" fontId="0" fillId="10" borderId="72" xfId="0" applyNumberFormat="1" applyFill="1" applyBorder="1"/>
    <xf numFmtId="4" fontId="0" fillId="10" borderId="73" xfId="0" applyNumberFormat="1" applyFill="1" applyBorder="1"/>
    <xf numFmtId="170" fontId="0" fillId="10" borderId="73" xfId="1" applyNumberFormat="1" applyFont="1" applyFill="1" applyBorder="1"/>
    <xf numFmtId="43" fontId="0" fillId="10" borderId="64" xfId="1" applyFont="1" applyFill="1" applyBorder="1"/>
    <xf numFmtId="43" fontId="0" fillId="10" borderId="62" xfId="1" applyFont="1" applyFill="1" applyBorder="1"/>
    <xf numFmtId="43" fontId="0" fillId="10" borderId="74" xfId="1" applyFont="1" applyFill="1" applyBorder="1"/>
    <xf numFmtId="43" fontId="0" fillId="10" borderId="63" xfId="1" applyFont="1" applyFill="1" applyBorder="1"/>
    <xf numFmtId="0" fontId="16" fillId="12" borderId="1" xfId="0" applyFont="1" applyFill="1" applyBorder="1" applyAlignment="1">
      <alignment horizontal="center"/>
    </xf>
    <xf numFmtId="172" fontId="0" fillId="12" borderId="65" xfId="0" applyNumberFormat="1" applyFill="1" applyBorder="1"/>
    <xf numFmtId="166" fontId="0" fillId="12" borderId="66" xfId="0" applyNumberFormat="1" applyFill="1" applyBorder="1"/>
    <xf numFmtId="164" fontId="0" fillId="12" borderId="62" xfId="0" applyNumberFormat="1" applyFill="1" applyBorder="1"/>
    <xf numFmtId="172" fontId="0" fillId="12" borderId="67" xfId="0" applyNumberFormat="1" applyFill="1" applyBorder="1"/>
    <xf numFmtId="166" fontId="0" fillId="12" borderId="17" xfId="0" applyNumberFormat="1" applyFill="1" applyBorder="1"/>
    <xf numFmtId="164" fontId="0" fillId="12" borderId="63" xfId="0" applyNumberFormat="1" applyFill="1" applyBorder="1"/>
    <xf numFmtId="166" fontId="0" fillId="12" borderId="68" xfId="0" applyNumberFormat="1" applyFill="1" applyBorder="1"/>
    <xf numFmtId="166" fontId="0" fillId="12" borderId="69" xfId="0" applyNumberFormat="1" applyFill="1" applyBorder="1"/>
    <xf numFmtId="164" fontId="0" fillId="12" borderId="64" xfId="0" applyNumberFormat="1" applyFill="1" applyBorder="1"/>
    <xf numFmtId="4" fontId="2" fillId="3" borderId="75" xfId="0" applyNumberFormat="1" applyFont="1" applyFill="1" applyBorder="1"/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3" borderId="78" xfId="0" applyFont="1" applyFill="1" applyBorder="1" applyAlignment="1">
      <alignment horizontal="center" vertical="center" wrapText="1"/>
    </xf>
    <xf numFmtId="43" fontId="2" fillId="0" borderId="81" xfId="0" applyNumberFormat="1" applyFont="1" applyBorder="1"/>
    <xf numFmtId="0" fontId="2" fillId="0" borderId="80" xfId="0" applyFont="1" applyBorder="1"/>
    <xf numFmtId="0" fontId="2" fillId="0" borderId="82" xfId="0" applyFont="1" applyBorder="1"/>
    <xf numFmtId="43" fontId="2" fillId="0" borderId="76" xfId="1" applyFont="1" applyBorder="1" applyAlignment="1">
      <alignment horizontal="center" vertical="center" wrapText="1"/>
    </xf>
    <xf numFmtId="43" fontId="2" fillId="0" borderId="83" xfId="1" applyFont="1" applyBorder="1" applyAlignment="1">
      <alignment horizontal="center" vertical="center" wrapText="1"/>
    </xf>
    <xf numFmtId="2" fontId="2" fillId="3" borderId="83" xfId="0" applyNumberFormat="1" applyFont="1" applyFill="1" applyBorder="1" applyAlignment="1">
      <alignment horizontal="right" vertical="center" wrapText="1"/>
    </xf>
    <xf numFmtId="0" fontId="2" fillId="0" borderId="84" xfId="0" applyFont="1" applyBorder="1"/>
    <xf numFmtId="9" fontId="3" fillId="3" borderId="1" xfId="0" applyNumberFormat="1" applyFont="1" applyFill="1" applyBorder="1" applyAlignment="1">
      <alignment horizontal="center"/>
    </xf>
    <xf numFmtId="43" fontId="3" fillId="3" borderId="76" xfId="1" applyFont="1" applyFill="1" applyBorder="1"/>
    <xf numFmtId="43" fontId="3" fillId="3" borderId="49" xfId="1" applyFont="1" applyFill="1" applyBorder="1"/>
    <xf numFmtId="43" fontId="3" fillId="3" borderId="52" xfId="1" applyFont="1" applyFill="1" applyBorder="1"/>
    <xf numFmtId="0" fontId="17" fillId="0" borderId="0" xfId="0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applyBorder="1"/>
    <xf numFmtId="0" fontId="3" fillId="0" borderId="0" xfId="0" applyFont="1" applyAlignment="1">
      <alignment horizontal="center"/>
    </xf>
    <xf numFmtId="0" fontId="0" fillId="0" borderId="0" xfId="0"/>
    <xf numFmtId="0" fontId="10" fillId="0" borderId="2" xfId="0" applyFont="1" applyBorder="1"/>
    <xf numFmtId="0" fontId="11" fillId="0" borderId="22" xfId="0" applyFont="1" applyBorder="1"/>
    <xf numFmtId="0" fontId="11" fillId="0" borderId="3" xfId="0" applyFont="1" applyBorder="1"/>
    <xf numFmtId="0" fontId="3" fillId="0" borderId="10" xfId="0" applyFont="1" applyBorder="1" applyAlignment="1">
      <alignment horizontal="center" vertical="center"/>
    </xf>
    <xf numFmtId="0" fontId="0" fillId="0" borderId="11" xfId="0" applyBorder="1"/>
    <xf numFmtId="0" fontId="8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0" fillId="11" borderId="0" xfId="0" applyFont="1" applyFill="1"/>
    <xf numFmtId="0" fontId="11" fillId="11" borderId="0" xfId="0" applyFont="1" applyFill="1"/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0" fillId="0" borderId="22" xfId="0" applyBorder="1"/>
    <xf numFmtId="0" fontId="0" fillId="0" borderId="3" xfId="0" applyBorder="1"/>
    <xf numFmtId="0" fontId="3" fillId="0" borderId="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6" xfId="0" applyBorder="1" applyAlignment="1">
      <alignment vertical="top"/>
    </xf>
    <xf numFmtId="0" fontId="0" fillId="0" borderId="24" xfId="0" applyBorder="1" applyAlignment="1">
      <alignment vertical="top"/>
    </xf>
    <xf numFmtId="0" fontId="6" fillId="0" borderId="35" xfId="0" applyFont="1" applyBorder="1" applyAlignment="1">
      <alignment vertical="top"/>
    </xf>
    <xf numFmtId="0" fontId="6" fillId="0" borderId="36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0" fillId="0" borderId="70" xfId="0" applyBorder="1" applyAlignment="1">
      <alignment vertical="top"/>
    </xf>
    <xf numFmtId="0" fontId="0" fillId="0" borderId="71" xfId="0" applyBorder="1" applyAlignment="1">
      <alignment vertical="top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6" fillId="0" borderId="27" xfId="0" applyFont="1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5" xfId="0" applyBorder="1" applyAlignment="1">
      <alignment vertical="top"/>
    </xf>
  </cellXfs>
  <cellStyles count="5">
    <cellStyle name="Migliaia" xfId="1" builtinId="3"/>
    <cellStyle name="Migliaia 2" xfId="2" xr:uid="{00000000-0005-0000-0000-000001000000}"/>
    <cellStyle name="Normale" xfId="0" builtinId="0"/>
    <cellStyle name="Percentuale" xfId="4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G143"/>
  <sheetViews>
    <sheetView workbookViewId="0">
      <selection activeCell="D20" sqref="D20"/>
    </sheetView>
  </sheetViews>
  <sheetFormatPr defaultRowHeight="14.4" x14ac:dyDescent="0.3"/>
  <cols>
    <col min="2" max="2" width="6.5546875" customWidth="1"/>
    <col min="3" max="3" width="12.109375" bestFit="1" customWidth="1"/>
    <col min="4" max="4" width="15.6640625" customWidth="1"/>
    <col min="5" max="5" width="6.5546875" customWidth="1"/>
    <col min="6" max="6" width="12.109375" bestFit="1" customWidth="1"/>
    <col min="7" max="7" width="18.88671875" customWidth="1"/>
  </cols>
  <sheetData>
    <row r="6" spans="2:6" x14ac:dyDescent="0.3">
      <c r="B6" t="s">
        <v>116</v>
      </c>
    </row>
    <row r="7" spans="2:6" x14ac:dyDescent="0.3">
      <c r="B7" s="269" t="s">
        <v>118</v>
      </c>
      <c r="C7" s="269"/>
      <c r="D7" s="269"/>
      <c r="E7" s="269"/>
      <c r="F7" s="269"/>
    </row>
    <row r="9" spans="2:6" ht="18" x14ac:dyDescent="0.3">
      <c r="D9" s="123"/>
    </row>
    <row r="10" spans="2:6" x14ac:dyDescent="0.3">
      <c r="B10" s="270"/>
      <c r="C10" s="271"/>
      <c r="D10" s="271"/>
      <c r="E10" s="271"/>
      <c r="F10" s="272"/>
    </row>
    <row r="11" spans="2:6" x14ac:dyDescent="0.3">
      <c r="B11" s="124"/>
      <c r="C11" s="125"/>
      <c r="D11" s="126"/>
      <c r="E11" s="127"/>
      <c r="F11" s="128"/>
    </row>
    <row r="12" spans="2:6" ht="15" thickBot="1" x14ac:dyDescent="0.35">
      <c r="B12" s="129"/>
      <c r="D12" s="130"/>
      <c r="F12" s="131"/>
    </row>
    <row r="13" spans="2:6" ht="15" thickBot="1" x14ac:dyDescent="0.35">
      <c r="B13" s="129"/>
      <c r="D13" s="132">
        <v>2026</v>
      </c>
      <c r="F13" s="131"/>
    </row>
    <row r="14" spans="2:6" x14ac:dyDescent="0.3">
      <c r="B14" s="129"/>
      <c r="D14" s="130"/>
      <c r="F14" s="131"/>
    </row>
    <row r="15" spans="2:6" x14ac:dyDescent="0.3">
      <c r="B15" s="129"/>
      <c r="D15" s="133"/>
      <c r="F15" s="131"/>
    </row>
    <row r="16" spans="2:6" x14ac:dyDescent="0.3">
      <c r="B16" s="129"/>
      <c r="F16" s="131"/>
    </row>
    <row r="17" spans="2:6" x14ac:dyDescent="0.3">
      <c r="B17" s="129"/>
      <c r="D17" s="134"/>
      <c r="F17" s="131"/>
    </row>
    <row r="18" spans="2:6" x14ac:dyDescent="0.3">
      <c r="B18" s="135"/>
      <c r="C18" s="136"/>
      <c r="D18" s="137"/>
      <c r="E18" s="136"/>
      <c r="F18" s="138"/>
    </row>
    <row r="19" spans="2:6" x14ac:dyDescent="0.3">
      <c r="C19" s="139"/>
      <c r="D19" s="130"/>
      <c r="F19" s="139"/>
    </row>
    <row r="20" spans="2:6" x14ac:dyDescent="0.3">
      <c r="D20" s="130"/>
    </row>
    <row r="21" spans="2:6" x14ac:dyDescent="0.3">
      <c r="D21" s="130"/>
    </row>
    <row r="22" spans="2:6" x14ac:dyDescent="0.3">
      <c r="D22" s="130"/>
    </row>
    <row r="25" spans="2:6" ht="18" x14ac:dyDescent="0.3">
      <c r="D25" s="123"/>
    </row>
    <row r="26" spans="2:6" x14ac:dyDescent="0.3">
      <c r="D26" s="140"/>
    </row>
    <row r="27" spans="2:6" x14ac:dyDescent="0.3">
      <c r="C27" s="139"/>
      <c r="D27" s="130"/>
      <c r="F27" s="139"/>
    </row>
    <row r="28" spans="2:6" x14ac:dyDescent="0.3">
      <c r="D28" s="130"/>
    </row>
    <row r="29" spans="2:6" x14ac:dyDescent="0.3">
      <c r="D29" s="130"/>
    </row>
    <row r="30" spans="2:6" x14ac:dyDescent="0.3">
      <c r="D30" s="130"/>
    </row>
    <row r="37" spans="3:6" x14ac:dyDescent="0.3">
      <c r="C37" s="28"/>
      <c r="F37" s="28"/>
    </row>
    <row r="44" spans="3:6" x14ac:dyDescent="0.3">
      <c r="C44" s="27"/>
      <c r="F44" s="27"/>
    </row>
    <row r="46" spans="3:6" x14ac:dyDescent="0.3">
      <c r="C46" s="28"/>
      <c r="F46" s="28"/>
    </row>
    <row r="53" spans="3:6" x14ac:dyDescent="0.3">
      <c r="C53" s="27"/>
      <c r="F53" s="27"/>
    </row>
    <row r="55" spans="3:6" x14ac:dyDescent="0.3">
      <c r="C55" s="28"/>
      <c r="F55" s="28"/>
    </row>
    <row r="63" spans="3:6" x14ac:dyDescent="0.3">
      <c r="C63" s="27"/>
      <c r="F63" s="27"/>
    </row>
    <row r="65" spans="3:6" x14ac:dyDescent="0.3">
      <c r="C65" s="28"/>
      <c r="F65" s="28"/>
    </row>
    <row r="75" spans="3:6" x14ac:dyDescent="0.3">
      <c r="C75" s="27"/>
      <c r="F75" s="27"/>
    </row>
    <row r="77" spans="3:6" x14ac:dyDescent="0.3">
      <c r="C77" s="28"/>
      <c r="F77" s="28"/>
    </row>
    <row r="84" spans="3:6" x14ac:dyDescent="0.3">
      <c r="C84" s="27"/>
      <c r="F84" s="27"/>
    </row>
    <row r="85" spans="3:6" x14ac:dyDescent="0.3">
      <c r="C85" s="27"/>
      <c r="F85" s="27"/>
    </row>
    <row r="89" spans="3:6" x14ac:dyDescent="0.3">
      <c r="D89" s="14"/>
    </row>
    <row r="90" spans="3:6" x14ac:dyDescent="0.3">
      <c r="D90" s="14"/>
    </row>
    <row r="91" spans="3:6" x14ac:dyDescent="0.3">
      <c r="C91" s="28"/>
      <c r="F91" s="28"/>
    </row>
    <row r="98" spans="3:6" x14ac:dyDescent="0.3">
      <c r="C98" s="27"/>
      <c r="F98" s="27"/>
    </row>
    <row r="100" spans="3:6" x14ac:dyDescent="0.3">
      <c r="C100" s="28"/>
      <c r="F100" s="28"/>
    </row>
    <row r="107" spans="3:6" x14ac:dyDescent="0.3">
      <c r="C107" s="27"/>
      <c r="F107" s="27"/>
    </row>
    <row r="109" spans="3:6" x14ac:dyDescent="0.3">
      <c r="C109" s="28"/>
      <c r="F109" s="28"/>
    </row>
    <row r="117" spans="3:6" x14ac:dyDescent="0.3">
      <c r="C117" s="27"/>
      <c r="F117" s="27"/>
    </row>
    <row r="119" spans="3:6" x14ac:dyDescent="0.3">
      <c r="C119" s="28"/>
      <c r="F119" s="28"/>
    </row>
    <row r="129" spans="3:7" x14ac:dyDescent="0.3">
      <c r="C129" s="27"/>
      <c r="F129" s="27"/>
    </row>
    <row r="131" spans="3:7" x14ac:dyDescent="0.3">
      <c r="C131" s="28"/>
      <c r="F131" s="28"/>
    </row>
    <row r="138" spans="3:7" x14ac:dyDescent="0.3">
      <c r="C138" s="27"/>
      <c r="F138" s="27"/>
    </row>
    <row r="143" spans="3:7" x14ac:dyDescent="0.3">
      <c r="C143" s="28"/>
      <c r="F143" s="28"/>
      <c r="G143" s="14"/>
    </row>
  </sheetData>
  <mergeCells count="2">
    <mergeCell ref="B7:F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workbookViewId="0">
      <selection activeCell="J9" sqref="J9"/>
    </sheetView>
  </sheetViews>
  <sheetFormatPr defaultColWidth="9.109375" defaultRowHeight="15.6" x14ac:dyDescent="0.3"/>
  <cols>
    <col min="1" max="1" width="20.5546875" style="2" customWidth="1"/>
    <col min="2" max="2" width="15.109375" style="2" customWidth="1"/>
    <col min="3" max="3" width="14.109375" style="2" customWidth="1"/>
    <col min="4" max="4" width="16.6640625" style="2" customWidth="1"/>
    <col min="5" max="5" width="15.109375" style="2" customWidth="1"/>
    <col min="6" max="6" width="16.6640625" style="2" customWidth="1"/>
    <col min="7" max="7" width="15.5546875" style="2" customWidth="1"/>
    <col min="8" max="8" width="14.5546875" style="2" bestFit="1" customWidth="1"/>
    <col min="9" max="9" width="9.5546875" style="2" customWidth="1"/>
    <col min="10" max="10" width="12.109375" style="2" customWidth="1"/>
    <col min="11" max="11" width="13.33203125" style="2" customWidth="1"/>
    <col min="12" max="12" width="11.5546875" style="2" customWidth="1"/>
    <col min="13" max="13" width="14.5546875" style="2" bestFit="1" customWidth="1"/>
    <col min="14" max="14" width="12.6640625" style="2" bestFit="1" customWidth="1"/>
    <col min="15" max="16384" width="9.109375" style="2"/>
  </cols>
  <sheetData>
    <row r="1" spans="1:9" ht="26.4" thickBot="1" x14ac:dyDescent="0.55000000000000004">
      <c r="A1" s="191" t="s">
        <v>117</v>
      </c>
      <c r="B1" s="192"/>
      <c r="C1" s="192"/>
      <c r="D1" s="192"/>
      <c r="E1" s="192"/>
      <c r="F1" s="192"/>
      <c r="G1" s="193"/>
      <c r="H1" s="194"/>
    </row>
    <row r="2" spans="1:9" ht="16.2" thickBot="1" x14ac:dyDescent="0.35"/>
    <row r="3" spans="1:9" ht="21.6" thickBot="1" x14ac:dyDescent="0.45">
      <c r="A3" s="275" t="s">
        <v>92</v>
      </c>
      <c r="B3" s="276"/>
      <c r="C3" s="276"/>
      <c r="D3" s="277"/>
    </row>
    <row r="4" spans="1:9" ht="18.600000000000001" thickBot="1" x14ac:dyDescent="0.4">
      <c r="A4" s="57"/>
    </row>
    <row r="5" spans="1:9" ht="16.2" thickBot="1" x14ac:dyDescent="0.35">
      <c r="A5" s="195" t="s">
        <v>63</v>
      </c>
      <c r="B5" s="64" t="s">
        <v>64</v>
      </c>
      <c r="C5" s="81" t="s">
        <v>3</v>
      </c>
      <c r="D5" s="196" t="s">
        <v>91</v>
      </c>
      <c r="E5" s="197"/>
      <c r="F5" s="230"/>
      <c r="G5" s="230"/>
      <c r="H5" s="230"/>
      <c r="I5" s="230"/>
    </row>
    <row r="6" spans="1:9" x14ac:dyDescent="0.3">
      <c r="A6" s="198" t="s">
        <v>82</v>
      </c>
      <c r="B6" s="63">
        <v>117982</v>
      </c>
      <c r="C6" s="199">
        <f>+B11-B12</f>
        <v>0</v>
      </c>
      <c r="D6" s="63">
        <f>+B6</f>
        <v>117982</v>
      </c>
      <c r="E6" s="198" t="s">
        <v>86</v>
      </c>
      <c r="F6" s="231">
        <f>+D6/D9</f>
        <v>0.38151380611614666</v>
      </c>
      <c r="G6" s="230"/>
      <c r="H6" s="230"/>
      <c r="I6" s="230"/>
    </row>
    <row r="7" spans="1:9" x14ac:dyDescent="0.3">
      <c r="A7" s="198" t="s">
        <v>83</v>
      </c>
      <c r="B7" s="63">
        <v>0</v>
      </c>
      <c r="C7" s="201">
        <v>0</v>
      </c>
      <c r="D7" s="202">
        <f>+B7</f>
        <v>0</v>
      </c>
      <c r="E7" s="198" t="s">
        <v>83</v>
      </c>
      <c r="F7" s="230"/>
      <c r="G7" s="230"/>
      <c r="H7" s="230"/>
      <c r="I7" s="230"/>
    </row>
    <row r="8" spans="1:9" x14ac:dyDescent="0.3">
      <c r="A8" s="203" t="s">
        <v>84</v>
      </c>
      <c r="B8" s="202">
        <v>191265</v>
      </c>
      <c r="C8" s="204">
        <f>+C6</f>
        <v>0</v>
      </c>
      <c r="D8" s="202">
        <f>+B8</f>
        <v>191265</v>
      </c>
      <c r="E8" s="203" t="s">
        <v>81</v>
      </c>
      <c r="F8" s="231">
        <f>+D8/D9</f>
        <v>0.6184861938838534</v>
      </c>
      <c r="G8" s="230"/>
      <c r="H8" s="230"/>
      <c r="I8" s="230"/>
    </row>
    <row r="9" spans="1:9" x14ac:dyDescent="0.3">
      <c r="A9" s="203" t="s">
        <v>73</v>
      </c>
      <c r="B9" s="202">
        <v>0</v>
      </c>
      <c r="C9" s="205"/>
      <c r="D9" s="206">
        <f>+D6+D8</f>
        <v>309247</v>
      </c>
      <c r="E9" s="207" t="s">
        <v>85</v>
      </c>
      <c r="F9" s="232">
        <f>+F6+F8</f>
        <v>1</v>
      </c>
      <c r="G9" s="230"/>
      <c r="H9" s="230"/>
      <c r="I9" s="230"/>
    </row>
    <row r="10" spans="1:9" x14ac:dyDescent="0.3">
      <c r="A10" s="208" t="s">
        <v>106</v>
      </c>
      <c r="B10" s="234">
        <v>1305594</v>
      </c>
      <c r="D10" s="229">
        <v>719770.5</v>
      </c>
      <c r="E10" s="1"/>
      <c r="F10" s="233"/>
      <c r="G10" s="230"/>
      <c r="H10" s="230"/>
      <c r="I10" s="230"/>
    </row>
    <row r="11" spans="1:9" x14ac:dyDescent="0.3">
      <c r="A11" s="198" t="s">
        <v>79</v>
      </c>
      <c r="B11" s="209">
        <v>0</v>
      </c>
      <c r="D11" s="62"/>
      <c r="E11" s="1"/>
      <c r="F11" s="233"/>
      <c r="G11" s="230"/>
      <c r="H11" s="230"/>
      <c r="I11" s="230"/>
    </row>
    <row r="12" spans="1:9" x14ac:dyDescent="0.3">
      <c r="A12" s="203" t="s">
        <v>80</v>
      </c>
      <c r="B12" s="210">
        <v>0</v>
      </c>
      <c r="D12" s="62"/>
      <c r="E12"/>
      <c r="F12" s="168"/>
    </row>
    <row r="13" spans="1:9" ht="16.2" thickBot="1" x14ac:dyDescent="0.35">
      <c r="A13" s="3"/>
      <c r="B13" s="62"/>
      <c r="D13" s="62"/>
      <c r="E13" s="62"/>
    </row>
    <row r="14" spans="1:9" ht="21.6" thickBot="1" x14ac:dyDescent="0.45">
      <c r="A14" s="283" t="s">
        <v>72</v>
      </c>
      <c r="B14" s="284"/>
      <c r="C14" s="284"/>
      <c r="D14" s="284"/>
      <c r="E14" s="284"/>
      <c r="F14" s="284"/>
      <c r="G14" s="284"/>
      <c r="H14" s="194"/>
    </row>
    <row r="15" spans="1:9" ht="18.600000000000001" thickBot="1" x14ac:dyDescent="0.4">
      <c r="A15" s="278" t="s">
        <v>5</v>
      </c>
      <c r="B15" s="280" t="s">
        <v>67</v>
      </c>
      <c r="C15" s="280"/>
      <c r="D15" s="280" t="s">
        <v>70</v>
      </c>
      <c r="E15" s="281"/>
      <c r="F15" s="281"/>
      <c r="G15" s="282"/>
      <c r="H15" s="211"/>
    </row>
    <row r="16" spans="1:9" ht="16.2" thickBot="1" x14ac:dyDescent="0.35">
      <c r="A16" s="279"/>
      <c r="B16" s="212" t="s">
        <v>65</v>
      </c>
      <c r="C16" s="65" t="s">
        <v>3</v>
      </c>
      <c r="D16" s="213" t="s">
        <v>0</v>
      </c>
      <c r="E16" s="213" t="s">
        <v>68</v>
      </c>
      <c r="F16" s="213" t="s">
        <v>66</v>
      </c>
      <c r="G16" s="213" t="s">
        <v>69</v>
      </c>
      <c r="H16" s="214" t="s">
        <v>16</v>
      </c>
    </row>
    <row r="17" spans="1:11" x14ac:dyDescent="0.3">
      <c r="A17" s="215" t="s">
        <v>2</v>
      </c>
      <c r="B17" s="82">
        <f>B10*C17/100</f>
        <v>979195.5</v>
      </c>
      <c r="C17" s="63">
        <v>75</v>
      </c>
      <c r="D17" s="216">
        <f>+(D6+D7)*C17/100-500</f>
        <v>87986.5</v>
      </c>
      <c r="E17" s="216">
        <f>+D8*C17/100-500</f>
        <v>142948.75</v>
      </c>
      <c r="F17" s="216">
        <f>+B9</f>
        <v>0</v>
      </c>
      <c r="G17" s="217">
        <f>+E17-F17</f>
        <v>142948.75</v>
      </c>
      <c r="H17" s="217">
        <f>+D17+G17</f>
        <v>230935.25</v>
      </c>
    </row>
    <row r="18" spans="1:11" ht="16.2" thickBot="1" x14ac:dyDescent="0.35">
      <c r="A18" s="59" t="s">
        <v>4</v>
      </c>
      <c r="B18" s="83">
        <f>+B10-B17</f>
        <v>326398.5</v>
      </c>
      <c r="C18" s="202">
        <f>100-C17</f>
        <v>25</v>
      </c>
      <c r="D18" s="218">
        <f>+(D6+D7)*C18/100+500</f>
        <v>29995.5</v>
      </c>
      <c r="E18" s="218">
        <f>+D8*C18/100+500</f>
        <v>48316.25</v>
      </c>
      <c r="F18" s="218">
        <f>-F17</f>
        <v>0</v>
      </c>
      <c r="G18" s="219">
        <f>+E18-F18</f>
        <v>48316.25</v>
      </c>
      <c r="H18" s="219">
        <f>+D18+E18</f>
        <v>78311.75</v>
      </c>
    </row>
    <row r="19" spans="1:11" ht="16.2" thickBot="1" x14ac:dyDescent="0.35">
      <c r="A19" s="214" t="s">
        <v>16</v>
      </c>
      <c r="B19" s="220">
        <f>+B10</f>
        <v>1305594</v>
      </c>
      <c r="C19" s="206">
        <f>SUM(C17:C18)</f>
        <v>100</v>
      </c>
      <c r="D19" s="219">
        <f>SUM(D17:D18)</f>
        <v>117982</v>
      </c>
      <c r="E19" s="219">
        <f>SUM(E17:E18)</f>
        <v>191265</v>
      </c>
      <c r="F19" s="219">
        <f>SUM(F17:F18)</f>
        <v>0</v>
      </c>
      <c r="G19" s="219">
        <f>SUM(G17:G18)</f>
        <v>191265</v>
      </c>
      <c r="H19" s="219">
        <f>+H17+H18</f>
        <v>309247</v>
      </c>
    </row>
    <row r="20" spans="1:11" x14ac:dyDescent="0.3">
      <c r="E20" s="221"/>
    </row>
    <row r="21" spans="1:11" x14ac:dyDescent="0.3">
      <c r="B21" s="168"/>
      <c r="C21" s="168"/>
      <c r="D21" s="222"/>
      <c r="E21" s="168"/>
      <c r="F21" s="168"/>
      <c r="G21" s="168"/>
      <c r="H21" s="200">
        <f>+H18/H19</f>
        <v>0.25323366111878209</v>
      </c>
      <c r="I21" s="222"/>
    </row>
    <row r="23" spans="1:11" x14ac:dyDescent="0.3">
      <c r="J23" s="273"/>
      <c r="K23" s="274"/>
    </row>
    <row r="30" spans="1:11" ht="5.25" customHeight="1" x14ac:dyDescent="0.3"/>
  </sheetData>
  <mergeCells count="6">
    <mergeCell ref="J23:K23"/>
    <mergeCell ref="A3:D3"/>
    <mergeCell ref="A15:A16"/>
    <mergeCell ref="B15:C15"/>
    <mergeCell ref="D15:G15"/>
    <mergeCell ref="A14:G1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topLeftCell="A4" workbookViewId="0">
      <selection activeCell="C16" sqref="C16"/>
    </sheetView>
  </sheetViews>
  <sheetFormatPr defaultRowHeight="14.4" x14ac:dyDescent="0.3"/>
  <cols>
    <col min="1" max="1" width="21" customWidth="1"/>
    <col min="2" max="2" width="21.33203125" customWidth="1"/>
    <col min="3" max="3" width="15" customWidth="1"/>
    <col min="4" max="4" width="16.6640625" customWidth="1"/>
    <col min="6" max="7" width="11.88671875" customWidth="1"/>
    <col min="8" max="8" width="3.33203125" customWidth="1"/>
    <col min="9" max="10" width="11" customWidth="1"/>
  </cols>
  <sheetData>
    <row r="1" spans="1:13" ht="25.8" x14ac:dyDescent="0.5">
      <c r="A1" s="4" t="s">
        <v>105</v>
      </c>
    </row>
    <row r="2" spans="1:13" ht="21" x14ac:dyDescent="0.4">
      <c r="A2" s="285" t="s">
        <v>92</v>
      </c>
      <c r="B2" s="286"/>
      <c r="C2" s="286"/>
      <c r="D2" s="286"/>
      <c r="E2" s="6"/>
      <c r="F2" s="6"/>
      <c r="G2" s="6"/>
    </row>
    <row r="5" spans="1:13" ht="15" thickBot="1" x14ac:dyDescent="0.35"/>
    <row r="6" spans="1:13" ht="21.6" thickBot="1" x14ac:dyDescent="0.45">
      <c r="A6" s="290" t="s">
        <v>60</v>
      </c>
      <c r="B6" s="291"/>
      <c r="C6" s="291"/>
      <c r="D6" s="292"/>
      <c r="E6" s="292"/>
      <c r="F6" s="292"/>
      <c r="G6" s="293"/>
    </row>
    <row r="7" spans="1:13" ht="16.2" thickBot="1" x14ac:dyDescent="0.35">
      <c r="A7" s="2"/>
      <c r="B7" s="2"/>
      <c r="C7" s="2"/>
      <c r="D7" s="2"/>
      <c r="E7" s="2"/>
      <c r="F7" s="2"/>
      <c r="G7" s="2"/>
    </row>
    <row r="8" spans="1:13" ht="18.600000000000001" thickBot="1" x14ac:dyDescent="0.4">
      <c r="A8" s="57"/>
      <c r="B8" s="106"/>
      <c r="C8" s="107"/>
      <c r="D8" s="108"/>
      <c r="E8" s="2"/>
      <c r="F8" s="288" t="s">
        <v>119</v>
      </c>
      <c r="G8" s="289"/>
      <c r="I8" s="288" t="s">
        <v>120</v>
      </c>
      <c r="J8" s="289"/>
      <c r="L8" s="273"/>
      <c r="M8" s="287"/>
    </row>
    <row r="9" spans="1:13" ht="16.2" thickBot="1" x14ac:dyDescent="0.35">
      <c r="A9" s="60" t="s">
        <v>8</v>
      </c>
      <c r="B9" s="104" t="s">
        <v>71</v>
      </c>
      <c r="C9" s="105" t="s">
        <v>24</v>
      </c>
      <c r="D9" s="105" t="s">
        <v>22</v>
      </c>
      <c r="E9" s="2"/>
      <c r="F9" s="76" t="s">
        <v>77</v>
      </c>
      <c r="G9" s="65" t="s">
        <v>76</v>
      </c>
      <c r="I9" s="76" t="s">
        <v>77</v>
      </c>
      <c r="J9" s="65" t="s">
        <v>76</v>
      </c>
      <c r="L9" s="166"/>
      <c r="M9" s="166"/>
    </row>
    <row r="10" spans="1:13" ht="15.6" x14ac:dyDescent="0.3">
      <c r="A10" s="16">
        <v>1</v>
      </c>
      <c r="B10" s="63">
        <v>40079</v>
      </c>
      <c r="C10" s="82">
        <v>324</v>
      </c>
      <c r="D10" s="78">
        <v>1</v>
      </c>
      <c r="E10" s="2"/>
      <c r="F10" s="235">
        <f>+Ud!F7</f>
        <v>0.56722397502972011</v>
      </c>
      <c r="G10" s="63">
        <f>+Ud!H25</f>
        <v>87.911657083115529</v>
      </c>
      <c r="I10" s="235">
        <v>0.60539600000000005</v>
      </c>
      <c r="J10" s="63">
        <v>84.18</v>
      </c>
      <c r="K10" s="1"/>
      <c r="L10" s="167"/>
      <c r="M10" s="168"/>
    </row>
    <row r="11" spans="1:13" ht="15.6" x14ac:dyDescent="0.3">
      <c r="A11" s="23">
        <v>2</v>
      </c>
      <c r="B11" s="63">
        <v>48214</v>
      </c>
      <c r="C11" s="82">
        <v>326</v>
      </c>
      <c r="D11" s="78">
        <v>1</v>
      </c>
      <c r="E11" s="2"/>
      <c r="F11" s="235">
        <f>+Ud!F8</f>
        <v>0.66176130420134016</v>
      </c>
      <c r="G11" s="63">
        <f>+Ud!H26</f>
        <v>158.24098274960792</v>
      </c>
      <c r="I11" s="235">
        <v>0.70629600000000003</v>
      </c>
      <c r="J11" s="63">
        <v>151.52000000000001</v>
      </c>
      <c r="K11" s="1"/>
      <c r="L11" s="167"/>
      <c r="M11" s="168"/>
    </row>
    <row r="12" spans="1:13" ht="15.6" x14ac:dyDescent="0.3">
      <c r="A12" s="23">
        <v>3</v>
      </c>
      <c r="B12" s="63">
        <v>19710</v>
      </c>
      <c r="C12" s="82">
        <v>135</v>
      </c>
      <c r="D12" s="78">
        <v>0.5</v>
      </c>
      <c r="E12" s="2"/>
      <c r="F12" s="235">
        <f>+Ud!F9</f>
        <v>0.72928796789535444</v>
      </c>
      <c r="G12" s="63">
        <f>+Ud!H27</f>
        <v>180.21889702038681</v>
      </c>
      <c r="I12" s="235">
        <v>0.77836700000000003</v>
      </c>
      <c r="J12" s="63">
        <v>172.57</v>
      </c>
      <c r="K12" s="1"/>
      <c r="L12" s="167"/>
      <c r="M12" s="168"/>
    </row>
    <row r="13" spans="1:13" ht="15.6" x14ac:dyDescent="0.3">
      <c r="A13" s="23">
        <v>4</v>
      </c>
      <c r="B13" s="63">
        <v>18496</v>
      </c>
      <c r="C13" s="82">
        <v>128</v>
      </c>
      <c r="D13" s="78">
        <v>0</v>
      </c>
      <c r="E13" s="2"/>
      <c r="F13" s="235">
        <f>+Ud!F10</f>
        <v>0.78330929885056577</v>
      </c>
      <c r="G13" s="63">
        <f>+Ud!H28</f>
        <v>193.40564558285416</v>
      </c>
      <c r="I13" s="235">
        <v>0.83602399999999999</v>
      </c>
      <c r="J13" s="63">
        <v>185.2</v>
      </c>
      <c r="K13" s="1"/>
      <c r="L13" s="167"/>
      <c r="M13" s="168"/>
    </row>
    <row r="14" spans="1:13" ht="15.6" x14ac:dyDescent="0.3">
      <c r="A14" s="23">
        <v>5</v>
      </c>
      <c r="B14" s="63">
        <v>4264</v>
      </c>
      <c r="C14" s="82">
        <v>33</v>
      </c>
      <c r="D14" s="78">
        <v>0</v>
      </c>
      <c r="E14" s="2"/>
      <c r="F14" s="235">
        <f>+Ud!F11</f>
        <v>0.83733062980577733</v>
      </c>
      <c r="G14" s="63">
        <f>+Ud!H29</f>
        <v>254.943805541035</v>
      </c>
      <c r="I14" s="235">
        <v>0.89368000000000003</v>
      </c>
      <c r="J14" s="63">
        <v>244.12</v>
      </c>
      <c r="K14" s="1"/>
      <c r="L14" s="167"/>
      <c r="M14" s="168"/>
    </row>
    <row r="15" spans="1:13" ht="15.6" x14ac:dyDescent="0.3">
      <c r="A15" s="23" t="s">
        <v>15</v>
      </c>
      <c r="B15" s="63">
        <v>1041</v>
      </c>
      <c r="C15" s="82">
        <v>18</v>
      </c>
      <c r="D15" s="78">
        <v>0</v>
      </c>
      <c r="E15" s="2"/>
      <c r="F15" s="235">
        <f>+Ud!F12</f>
        <v>0.87784662802218594</v>
      </c>
      <c r="G15" s="63">
        <f>+Ud!H30</f>
        <v>298.89963408259274</v>
      </c>
      <c r="I15" s="235">
        <v>0.93692299999999995</v>
      </c>
      <c r="J15" s="63">
        <v>286.20999999999998</v>
      </c>
      <c r="K15" s="1"/>
      <c r="L15" s="167"/>
      <c r="M15" s="168"/>
    </row>
    <row r="16" spans="1:13" ht="15.6" x14ac:dyDescent="0.3">
      <c r="A16" s="68" t="s">
        <v>16</v>
      </c>
      <c r="B16" s="63">
        <f>SUM(B10:B15)</f>
        <v>131804</v>
      </c>
      <c r="C16" s="82">
        <f>SUM(C10:C15)</f>
        <v>964</v>
      </c>
      <c r="D16" s="2"/>
      <c r="E16" s="2"/>
      <c r="F16" s="2"/>
      <c r="G16" s="2"/>
    </row>
    <row r="17" spans="2:11" x14ac:dyDescent="0.3">
      <c r="H17" s="1"/>
      <c r="J17" s="55"/>
      <c r="K17" s="55"/>
    </row>
    <row r="18" spans="2:11" x14ac:dyDescent="0.3">
      <c r="B18" s="52"/>
      <c r="H18" s="1"/>
      <c r="J18" s="55"/>
      <c r="K18" s="55"/>
    </row>
    <row r="19" spans="2:11" x14ac:dyDescent="0.3">
      <c r="H19" s="1"/>
      <c r="J19" s="55"/>
      <c r="K19" s="55"/>
    </row>
  </sheetData>
  <mergeCells count="5">
    <mergeCell ref="A2:D2"/>
    <mergeCell ref="L8:M8"/>
    <mergeCell ref="I8:J8"/>
    <mergeCell ref="A6:G6"/>
    <mergeCell ref="F8:G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2"/>
  <sheetViews>
    <sheetView topLeftCell="A19" workbookViewId="0">
      <selection activeCell="D25" sqref="D25"/>
    </sheetView>
  </sheetViews>
  <sheetFormatPr defaultRowHeight="14.4" x14ac:dyDescent="0.3"/>
  <cols>
    <col min="2" max="2" width="12.6640625" customWidth="1"/>
    <col min="3" max="3" width="14.6640625" bestFit="1" customWidth="1"/>
    <col min="4" max="4" width="10.33203125" customWidth="1"/>
    <col min="7" max="7" width="10.109375" customWidth="1"/>
    <col min="8" max="8" width="15.5546875" customWidth="1"/>
    <col min="9" max="9" width="16.44140625" customWidth="1"/>
    <col min="10" max="10" width="13.109375" customWidth="1"/>
    <col min="11" max="11" width="16.44140625" customWidth="1"/>
  </cols>
  <sheetData>
    <row r="1" spans="1:8" ht="25.8" x14ac:dyDescent="0.5">
      <c r="A1" s="4" t="s">
        <v>53</v>
      </c>
    </row>
    <row r="2" spans="1:8" ht="21" x14ac:dyDescent="0.4">
      <c r="A2" s="285" t="s">
        <v>92</v>
      </c>
      <c r="B2" s="286"/>
      <c r="C2" s="286"/>
      <c r="D2" s="286"/>
      <c r="E2" s="6"/>
      <c r="F2" s="6"/>
      <c r="G2" s="6"/>
    </row>
    <row r="3" spans="1:8" ht="15.6" x14ac:dyDescent="0.3">
      <c r="A3" s="7"/>
      <c r="B3" s="6"/>
      <c r="C3" s="6"/>
      <c r="D3" s="6"/>
      <c r="E3" s="6"/>
      <c r="F3" s="6"/>
      <c r="G3" s="6"/>
    </row>
    <row r="4" spans="1:8" ht="15.6" x14ac:dyDescent="0.3">
      <c r="A4" s="7" t="s">
        <v>6</v>
      </c>
      <c r="B4" s="8">
        <f>+Dati!D17</f>
        <v>87986.5</v>
      </c>
      <c r="C4" s="6"/>
      <c r="D4" s="6"/>
      <c r="E4" s="6"/>
      <c r="F4" s="6"/>
      <c r="G4" s="6"/>
    </row>
    <row r="5" spans="1:8" ht="16.2" thickBot="1" x14ac:dyDescent="0.35">
      <c r="A5" s="7"/>
      <c r="B5" s="6"/>
      <c r="C5" s="6"/>
      <c r="D5" s="6"/>
      <c r="E5" s="6"/>
      <c r="F5" s="3" t="s">
        <v>7</v>
      </c>
      <c r="G5" s="6"/>
    </row>
    <row r="6" spans="1:8" ht="16.2" thickBot="1" x14ac:dyDescent="0.35">
      <c r="A6" s="10" t="s">
        <v>8</v>
      </c>
      <c r="B6" s="11" t="s">
        <v>9</v>
      </c>
      <c r="C6" s="12" t="s">
        <v>10</v>
      </c>
      <c r="D6" s="12" t="s">
        <v>11</v>
      </c>
      <c r="E6" s="12" t="s">
        <v>12</v>
      </c>
      <c r="F6" s="13" t="s">
        <v>13</v>
      </c>
      <c r="G6" s="14"/>
      <c r="H6" s="15" t="s">
        <v>14</v>
      </c>
    </row>
    <row r="7" spans="1:8" ht="15.6" x14ac:dyDescent="0.3">
      <c r="A7" s="16">
        <v>1</v>
      </c>
      <c r="B7" s="17">
        <v>0.84</v>
      </c>
      <c r="C7" s="18">
        <f>+'Ud1'!B10</f>
        <v>40079</v>
      </c>
      <c r="D7" s="19">
        <f>+B7*C7</f>
        <v>33666.36</v>
      </c>
      <c r="E7" s="20">
        <f>+B$4/D$13</f>
        <v>0.67526663694014299</v>
      </c>
      <c r="F7" s="21">
        <f>+B7*E7</f>
        <v>0.56722397502972011</v>
      </c>
      <c r="H7" s="22">
        <f>+C7*F7</f>
        <v>22733.769695216153</v>
      </c>
    </row>
    <row r="8" spans="1:8" ht="15.6" x14ac:dyDescent="0.3">
      <c r="A8" s="23">
        <v>2</v>
      </c>
      <c r="B8" s="24">
        <v>0.98</v>
      </c>
      <c r="C8" s="18">
        <f>+'Ud1'!B11</f>
        <v>48214</v>
      </c>
      <c r="D8" s="25">
        <f t="shared" ref="D8:D12" si="0">+B8*C8</f>
        <v>47249.72</v>
      </c>
      <c r="E8" s="26">
        <f t="shared" ref="E8:E12" si="1">+B$4/D$13</f>
        <v>0.67526663694014299</v>
      </c>
      <c r="F8" s="21">
        <f t="shared" ref="F8:F12" si="2">+B8*E8</f>
        <v>0.66176130420134016</v>
      </c>
      <c r="H8" s="22">
        <f t="shared" ref="H8:H12" si="3">+C8*F8</f>
        <v>31906.159520763413</v>
      </c>
    </row>
    <row r="9" spans="1:8" ht="15.6" x14ac:dyDescent="0.3">
      <c r="A9" s="23">
        <v>3</v>
      </c>
      <c r="B9" s="24">
        <v>1.08</v>
      </c>
      <c r="C9" s="18">
        <f>+'Ud1'!B12</f>
        <v>19710</v>
      </c>
      <c r="D9" s="25">
        <f t="shared" si="0"/>
        <v>21286.800000000003</v>
      </c>
      <c r="E9" s="26">
        <f t="shared" si="1"/>
        <v>0.67526663694014299</v>
      </c>
      <c r="F9" s="21">
        <f t="shared" si="2"/>
        <v>0.72928796789535444</v>
      </c>
      <c r="H9" s="22">
        <f t="shared" si="3"/>
        <v>14374.265847217435</v>
      </c>
    </row>
    <row r="10" spans="1:8" ht="15.6" x14ac:dyDescent="0.3">
      <c r="A10" s="23">
        <v>4</v>
      </c>
      <c r="B10" s="24">
        <v>1.1599999999999999</v>
      </c>
      <c r="C10" s="18">
        <f>+'Ud1'!B13</f>
        <v>18496</v>
      </c>
      <c r="D10" s="25">
        <f t="shared" si="0"/>
        <v>21455.359999999997</v>
      </c>
      <c r="E10" s="26">
        <f t="shared" si="1"/>
        <v>0.67526663694014299</v>
      </c>
      <c r="F10" s="21">
        <f t="shared" si="2"/>
        <v>0.78330929885056577</v>
      </c>
      <c r="H10" s="22">
        <f t="shared" si="3"/>
        <v>14488.088791540065</v>
      </c>
    </row>
    <row r="11" spans="1:8" ht="15.6" x14ac:dyDescent="0.3">
      <c r="A11" s="23">
        <v>5</v>
      </c>
      <c r="B11" s="24">
        <v>1.24</v>
      </c>
      <c r="C11" s="18">
        <f>+'Ud1'!B14</f>
        <v>4264</v>
      </c>
      <c r="D11" s="25">
        <f t="shared" si="0"/>
        <v>5287.36</v>
      </c>
      <c r="E11" s="26">
        <f t="shared" si="1"/>
        <v>0.67526663694014299</v>
      </c>
      <c r="F11" s="21">
        <f t="shared" si="2"/>
        <v>0.83733062980577733</v>
      </c>
      <c r="H11" s="22">
        <f t="shared" si="3"/>
        <v>3570.3778054918344</v>
      </c>
    </row>
    <row r="12" spans="1:8" ht="15.6" x14ac:dyDescent="0.3">
      <c r="A12" s="23" t="s">
        <v>15</v>
      </c>
      <c r="B12" s="24">
        <v>1.3</v>
      </c>
      <c r="C12" s="18">
        <f>+'Ud1'!B15</f>
        <v>1041</v>
      </c>
      <c r="D12" s="25">
        <f t="shared" si="0"/>
        <v>1353.3</v>
      </c>
      <c r="E12" s="26">
        <f t="shared" si="1"/>
        <v>0.67526663694014299</v>
      </c>
      <c r="F12" s="21">
        <f t="shared" si="2"/>
        <v>0.87784662802218594</v>
      </c>
      <c r="H12" s="22">
        <f t="shared" si="3"/>
        <v>913.83833977109555</v>
      </c>
    </row>
    <row r="13" spans="1:8" x14ac:dyDescent="0.3">
      <c r="C13" s="27" t="s">
        <v>16</v>
      </c>
      <c r="D13" s="67">
        <f>SUM(D7:D12)</f>
        <v>130298.90000000001</v>
      </c>
      <c r="H13" s="29">
        <f>SUM(H7:H12)</f>
        <v>87986.5</v>
      </c>
    </row>
    <row r="14" spans="1:8" x14ac:dyDescent="0.3">
      <c r="H14" s="56" t="str">
        <f>+IF(H13=B4,"Verificato","non verificato")</f>
        <v>Verificato</v>
      </c>
    </row>
    <row r="16" spans="1:8" ht="25.8" x14ac:dyDescent="0.5">
      <c r="A16" s="4" t="s">
        <v>54</v>
      </c>
    </row>
    <row r="18" spans="1:13" ht="15.6" x14ac:dyDescent="0.3">
      <c r="A18" s="5" t="s">
        <v>18</v>
      </c>
      <c r="B18" s="6"/>
      <c r="C18" s="6"/>
      <c r="D18" s="6"/>
      <c r="E18" s="6"/>
      <c r="F18" s="6"/>
      <c r="G18" s="6"/>
      <c r="H18" s="6"/>
      <c r="I18" s="6"/>
      <c r="J18" s="6"/>
    </row>
    <row r="19" spans="1:13" ht="15.6" x14ac:dyDescent="0.3">
      <c r="A19" s="5" t="s">
        <v>18</v>
      </c>
      <c r="C19" s="33">
        <f>+Dati!G17</f>
        <v>142948.75</v>
      </c>
      <c r="D19" s="6"/>
      <c r="E19" s="6"/>
      <c r="F19" s="6"/>
      <c r="G19" s="6"/>
      <c r="H19" s="6"/>
      <c r="I19" s="6"/>
      <c r="J19" s="6"/>
    </row>
    <row r="20" spans="1:13" ht="15.6" x14ac:dyDescent="0.3">
      <c r="A20" s="5" t="s">
        <v>17</v>
      </c>
      <c r="B20" s="7"/>
      <c r="C20" s="30">
        <f>+Dati!B17</f>
        <v>979195.5</v>
      </c>
      <c r="D20" s="6"/>
      <c r="E20" s="6"/>
      <c r="F20" s="6"/>
      <c r="G20" s="6"/>
      <c r="H20" s="6"/>
      <c r="I20" s="6"/>
      <c r="J20" s="6"/>
    </row>
    <row r="21" spans="1:13" ht="15.6" x14ac:dyDescent="0.3">
      <c r="A21" s="5" t="s">
        <v>19</v>
      </c>
      <c r="B21" s="7"/>
      <c r="C21" s="56">
        <f>+C19/C20</f>
        <v>0.14598591394670421</v>
      </c>
      <c r="D21" s="6"/>
      <c r="E21" s="6"/>
      <c r="F21" s="6"/>
      <c r="G21" s="6"/>
      <c r="H21" s="6"/>
      <c r="I21" s="6"/>
      <c r="J21" s="6"/>
    </row>
    <row r="22" spans="1:13" ht="15.6" x14ac:dyDescent="0.3">
      <c r="A22" s="5" t="s">
        <v>26</v>
      </c>
      <c r="B22" s="7"/>
      <c r="C22" s="69">
        <f>+C20/G31</f>
        <v>602.19273700070721</v>
      </c>
      <c r="D22" s="6"/>
      <c r="E22" s="6"/>
      <c r="F22" s="6"/>
      <c r="G22" s="6"/>
      <c r="H22" s="6"/>
      <c r="I22" s="6"/>
      <c r="J22" s="6"/>
    </row>
    <row r="23" spans="1:13" ht="16.2" thickBot="1" x14ac:dyDescent="0.35">
      <c r="A23" s="7"/>
      <c r="B23" s="6"/>
      <c r="C23" s="6"/>
      <c r="D23" s="9"/>
      <c r="E23" s="6"/>
      <c r="F23" s="9"/>
      <c r="G23" s="6"/>
      <c r="H23" s="6"/>
      <c r="I23" s="14" t="s">
        <v>59</v>
      </c>
      <c r="J23" s="6"/>
    </row>
    <row r="24" spans="1:13" ht="16.2" thickBot="1" x14ac:dyDescent="0.35">
      <c r="A24" s="10" t="s">
        <v>8</v>
      </c>
      <c r="B24" s="11" t="s">
        <v>20</v>
      </c>
      <c r="C24" s="11" t="s">
        <v>21</v>
      </c>
      <c r="D24" s="11" t="s">
        <v>22</v>
      </c>
      <c r="E24" s="11" t="s">
        <v>23</v>
      </c>
      <c r="F24" s="11" t="s">
        <v>24</v>
      </c>
      <c r="G24" s="12" t="s">
        <v>25</v>
      </c>
      <c r="H24" s="12" t="s">
        <v>26</v>
      </c>
      <c r="I24" s="15" t="s">
        <v>14</v>
      </c>
      <c r="J24" s="14"/>
      <c r="M24" s="1"/>
    </row>
    <row r="25" spans="1:13" ht="15.6" x14ac:dyDescent="0.3">
      <c r="A25" s="16">
        <v>1</v>
      </c>
      <c r="B25" s="17">
        <v>0.6</v>
      </c>
      <c r="C25" s="17">
        <v>1</v>
      </c>
      <c r="D25" s="54">
        <f>'Ud1'!D10</f>
        <v>1</v>
      </c>
      <c r="E25" s="17">
        <f>+B25+D25*(C25-B25)</f>
        <v>1</v>
      </c>
      <c r="F25" s="61">
        <f>+'Ud1'!C10</f>
        <v>324</v>
      </c>
      <c r="G25" s="18">
        <f>+E25*F25</f>
        <v>324</v>
      </c>
      <c r="H25" s="70">
        <f>+E25*C$22*C$21</f>
        <v>87.911657083115529</v>
      </c>
      <c r="I25" s="71">
        <f>+F25*H25</f>
        <v>28483.376894929432</v>
      </c>
      <c r="M25" s="1"/>
    </row>
    <row r="26" spans="1:13" ht="15.6" x14ac:dyDescent="0.3">
      <c r="A26" s="23">
        <v>2</v>
      </c>
      <c r="B26" s="24">
        <v>1.4</v>
      </c>
      <c r="C26" s="24">
        <v>1.8</v>
      </c>
      <c r="D26" s="54">
        <f>'Ud1'!D11</f>
        <v>1</v>
      </c>
      <c r="E26" s="17">
        <f t="shared" ref="E26:E30" si="4">+B26+D26*(C26-B26)</f>
        <v>1.8</v>
      </c>
      <c r="F26" s="61">
        <f>+'Ud1'!C11</f>
        <v>326</v>
      </c>
      <c r="G26" s="18">
        <f t="shared" ref="G26:G30" si="5">+E26*F26</f>
        <v>586.80000000000007</v>
      </c>
      <c r="H26" s="70">
        <f t="shared" ref="H26:H30" si="6">+E26*C$22*C$21</f>
        <v>158.24098274960792</v>
      </c>
      <c r="I26" s="71">
        <f t="shared" ref="I26:I30" si="7">+F26*H26</f>
        <v>51586.560376372181</v>
      </c>
    </row>
    <row r="27" spans="1:13" ht="15.6" x14ac:dyDescent="0.3">
      <c r="A27" s="23">
        <v>3</v>
      </c>
      <c r="B27" s="24">
        <v>1.8</v>
      </c>
      <c r="C27" s="24">
        <v>2.2999999999999998</v>
      </c>
      <c r="D27" s="54">
        <f>'Ud1'!D12</f>
        <v>0.5</v>
      </c>
      <c r="E27" s="17">
        <f t="shared" si="4"/>
        <v>2.0499999999999998</v>
      </c>
      <c r="F27" s="61">
        <f>+'Ud1'!C12</f>
        <v>135</v>
      </c>
      <c r="G27" s="18">
        <f t="shared" si="5"/>
        <v>276.75</v>
      </c>
      <c r="H27" s="70">
        <f t="shared" si="6"/>
        <v>180.21889702038681</v>
      </c>
      <c r="I27" s="71">
        <f t="shared" si="7"/>
        <v>24329.551097752217</v>
      </c>
    </row>
    <row r="28" spans="1:13" ht="15.6" x14ac:dyDescent="0.3">
      <c r="A28" s="23">
        <v>4</v>
      </c>
      <c r="B28" s="24">
        <v>2.2000000000000002</v>
      </c>
      <c r="C28" s="24">
        <v>3</v>
      </c>
      <c r="D28" s="54">
        <f>'Ud1'!D13</f>
        <v>0</v>
      </c>
      <c r="E28" s="17">
        <f t="shared" si="4"/>
        <v>2.2000000000000002</v>
      </c>
      <c r="F28" s="61">
        <f>+'Ud1'!C13</f>
        <v>128</v>
      </c>
      <c r="G28" s="18">
        <f t="shared" si="5"/>
        <v>281.60000000000002</v>
      </c>
      <c r="H28" s="70">
        <f t="shared" si="6"/>
        <v>193.40564558285416</v>
      </c>
      <c r="I28" s="71">
        <f t="shared" si="7"/>
        <v>24755.922634605333</v>
      </c>
    </row>
    <row r="29" spans="1:13" ht="15.6" x14ac:dyDescent="0.3">
      <c r="A29" s="23">
        <v>5</v>
      </c>
      <c r="B29" s="24">
        <v>2.9</v>
      </c>
      <c r="C29" s="24">
        <v>3.6</v>
      </c>
      <c r="D29" s="54">
        <f>'Ud1'!D14</f>
        <v>0</v>
      </c>
      <c r="E29" s="17">
        <f t="shared" si="4"/>
        <v>2.9</v>
      </c>
      <c r="F29" s="61">
        <f>+'Ud1'!C14</f>
        <v>33</v>
      </c>
      <c r="G29" s="18">
        <f t="shared" si="5"/>
        <v>95.7</v>
      </c>
      <c r="H29" s="70">
        <f t="shared" si="6"/>
        <v>254.943805541035</v>
      </c>
      <c r="I29" s="71">
        <f t="shared" si="7"/>
        <v>8413.1455828541548</v>
      </c>
    </row>
    <row r="30" spans="1:13" ht="15.6" x14ac:dyDescent="0.3">
      <c r="A30" s="23" t="s">
        <v>15</v>
      </c>
      <c r="B30" s="24">
        <v>3.4</v>
      </c>
      <c r="C30" s="24">
        <v>4.0999999999999996</v>
      </c>
      <c r="D30" s="54">
        <f>'Ud1'!D15</f>
        <v>0</v>
      </c>
      <c r="E30" s="17">
        <f t="shared" si="4"/>
        <v>3.4</v>
      </c>
      <c r="F30" s="61">
        <f>+'Ud1'!C15</f>
        <v>18</v>
      </c>
      <c r="G30" s="18">
        <f t="shared" si="5"/>
        <v>61.199999999999996</v>
      </c>
      <c r="H30" s="70">
        <f t="shared" si="6"/>
        <v>298.89963408259274</v>
      </c>
      <c r="I30" s="71">
        <f t="shared" si="7"/>
        <v>5380.1934134866697</v>
      </c>
    </row>
    <row r="31" spans="1:13" x14ac:dyDescent="0.3">
      <c r="F31" s="27" t="s">
        <v>16</v>
      </c>
      <c r="G31" s="32">
        <f>SUM(G25:G30)</f>
        <v>1626.0500000000002</v>
      </c>
      <c r="H31" s="28"/>
      <c r="I31" s="72">
        <f>SUM(I25:I30)</f>
        <v>142948.75</v>
      </c>
    </row>
    <row r="32" spans="1:13" x14ac:dyDescent="0.3">
      <c r="I32" s="73" t="str">
        <f>+IF(I31=C19,"Verificato","non verificato")</f>
        <v>Verificato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27"/>
  <sheetViews>
    <sheetView topLeftCell="A16" workbookViewId="0">
      <selection activeCell="P21" sqref="P21"/>
    </sheetView>
  </sheetViews>
  <sheetFormatPr defaultRowHeight="14.4" x14ac:dyDescent="0.3"/>
  <cols>
    <col min="1" max="1" width="3.6640625" customWidth="1"/>
    <col min="3" max="3" width="13.6640625" customWidth="1"/>
    <col min="4" max="4" width="12.6640625" bestFit="1" customWidth="1"/>
    <col min="5" max="5" width="11.5546875" bestFit="1" customWidth="1"/>
    <col min="6" max="6" width="14" customWidth="1"/>
    <col min="7" max="7" width="11.33203125" customWidth="1"/>
    <col min="8" max="8" width="17.5546875" customWidth="1"/>
    <col min="9" max="9" width="14.44140625" customWidth="1"/>
  </cols>
  <sheetData>
    <row r="1" spans="2:9" ht="25.8" x14ac:dyDescent="0.5">
      <c r="B1" s="4" t="s">
        <v>105</v>
      </c>
    </row>
    <row r="2" spans="2:9" ht="21" x14ac:dyDescent="0.4">
      <c r="B2" s="142" t="s">
        <v>92</v>
      </c>
      <c r="C2" s="143"/>
      <c r="D2" s="143"/>
      <c r="E2" s="143"/>
      <c r="F2" s="6"/>
      <c r="G2" s="6"/>
      <c r="H2" s="6"/>
    </row>
    <row r="3" spans="2:9" ht="15" thickBot="1" x14ac:dyDescent="0.35"/>
    <row r="4" spans="2:9" ht="26.4" thickBot="1" x14ac:dyDescent="0.55000000000000004">
      <c r="B4" s="157" t="s">
        <v>114</v>
      </c>
      <c r="C4" s="155"/>
      <c r="D4" s="155"/>
      <c r="E4" s="155"/>
      <c r="F4" s="155"/>
      <c r="G4" s="155"/>
      <c r="H4" s="155"/>
      <c r="I4" s="155"/>
    </row>
    <row r="5" spans="2:9" ht="15" thickBot="1" x14ac:dyDescent="0.35"/>
    <row r="6" spans="2:9" ht="16.2" thickBot="1" x14ac:dyDescent="0.35">
      <c r="B6" s="162" t="s">
        <v>8</v>
      </c>
      <c r="C6" s="163" t="s">
        <v>111</v>
      </c>
      <c r="D6" s="164" t="s">
        <v>112</v>
      </c>
      <c r="E6" s="165" t="s">
        <v>113</v>
      </c>
      <c r="F6" s="64" t="s">
        <v>16</v>
      </c>
      <c r="G6" s="64" t="s">
        <v>3</v>
      </c>
      <c r="H6" s="64" t="s">
        <v>99</v>
      </c>
      <c r="I6" s="81" t="s">
        <v>115</v>
      </c>
    </row>
    <row r="7" spans="2:9" ht="15.6" x14ac:dyDescent="0.3">
      <c r="B7" s="254">
        <v>1</v>
      </c>
      <c r="C7" s="94">
        <f>+'Ud1'!B10*'Ud1'!F10</f>
        <v>22733.769695216153</v>
      </c>
      <c r="D7" s="94">
        <f>+'Ud1'!C10*'Ud1'!G10</f>
        <v>28483.376894929432</v>
      </c>
      <c r="E7" s="121">
        <f>+(C7+D7)/'Ud1'!B10</f>
        <v>1.2779048027681723</v>
      </c>
      <c r="F7" s="94">
        <f t="shared" ref="F7:F12" si="0">+C7+D7</f>
        <v>51217.146590145581</v>
      </c>
      <c r="G7" s="121">
        <f t="shared" ref="G7:G12" si="1">+F7/$F$13</f>
        <v>0.22178141531076609</v>
      </c>
      <c r="H7" s="121">
        <f>+'Ud1'!B10/'Ud1'!C10</f>
        <v>123.70061728395062</v>
      </c>
      <c r="I7" s="261">
        <f>+(H7*'Ud1'!F10)+'Ud1'!G10</f>
        <v>158.07761293254811</v>
      </c>
    </row>
    <row r="8" spans="2:9" ht="15.6" x14ac:dyDescent="0.3">
      <c r="B8" s="255">
        <v>2</v>
      </c>
      <c r="C8" s="95">
        <f>+'Ud1'!B11*'Ud1'!F11</f>
        <v>31906.159520763413</v>
      </c>
      <c r="D8" s="95">
        <f>+'Ud1'!C11*'Ud1'!G11</f>
        <v>51586.560376372181</v>
      </c>
      <c r="E8" s="122">
        <f>+(C8+D8)/'Ud1'!B11</f>
        <v>1.7317111191175925</v>
      </c>
      <c r="F8" s="95">
        <f t="shared" si="0"/>
        <v>83492.719897135597</v>
      </c>
      <c r="G8" s="122">
        <f t="shared" si="1"/>
        <v>0.36154168710552254</v>
      </c>
      <c r="H8" s="122">
        <f>+'Ud1'!B11/'Ud1'!C11</f>
        <v>147.89570552147239</v>
      </c>
      <c r="I8" s="262">
        <f>+(H8*'Ud1'!F11)+'Ud1'!G11</f>
        <v>256.11263772127484</v>
      </c>
    </row>
    <row r="9" spans="2:9" ht="15.6" x14ac:dyDescent="0.3">
      <c r="B9" s="255">
        <v>3</v>
      </c>
      <c r="C9" s="95">
        <f>+'Ud1'!B12*'Ud1'!F12</f>
        <v>14374.265847217435</v>
      </c>
      <c r="D9" s="95">
        <f>+'Ud1'!C12*'Ud1'!G12</f>
        <v>24329.551097752217</v>
      </c>
      <c r="E9" s="122">
        <f>+(C9+D9)/'Ud1'!B12</f>
        <v>1.963663974884305</v>
      </c>
      <c r="F9" s="95">
        <f t="shared" si="0"/>
        <v>38703.816944969651</v>
      </c>
      <c r="G9" s="122">
        <f t="shared" si="1"/>
        <v>0.16759596876167523</v>
      </c>
      <c r="H9" s="122">
        <f>+'Ud1'!B12/'Ud1'!C12</f>
        <v>146</v>
      </c>
      <c r="I9" s="262">
        <f>+(H9*'Ud1'!F12)+'Ud1'!G12</f>
        <v>286.69494033310855</v>
      </c>
    </row>
    <row r="10" spans="2:9" ht="15.6" x14ac:dyDescent="0.3">
      <c r="B10" s="255">
        <v>4</v>
      </c>
      <c r="C10" s="95">
        <f>+'Ud1'!B13*'Ud1'!F13</f>
        <v>14488.088791540065</v>
      </c>
      <c r="D10" s="95">
        <f>+'Ud1'!C13*'Ud1'!G13</f>
        <v>24755.922634605333</v>
      </c>
      <c r="E10" s="122">
        <f>+(C10+D10)/'Ud1'!B13</f>
        <v>2.1217566731263733</v>
      </c>
      <c r="F10" s="95">
        <f t="shared" si="0"/>
        <v>39244.0114261454</v>
      </c>
      <c r="G10" s="122">
        <f t="shared" si="1"/>
        <v>0.16993512868280355</v>
      </c>
      <c r="H10" s="122">
        <f>+'Ud1'!B13/'Ud1'!C13</f>
        <v>144.5</v>
      </c>
      <c r="I10" s="262">
        <f>+(H10*'Ud1'!F13)+'Ud1'!G13</f>
        <v>306.59383926676094</v>
      </c>
    </row>
    <row r="11" spans="2:9" ht="15.6" x14ac:dyDescent="0.3">
      <c r="B11" s="255">
        <v>5</v>
      </c>
      <c r="C11" s="95">
        <f>+'Ud1'!B14*'Ud1'!F14</f>
        <v>3570.3778054918344</v>
      </c>
      <c r="D11" s="95">
        <f>+'Ud1'!C14*'Ud1'!G14</f>
        <v>8413.1455828541548</v>
      </c>
      <c r="E11" s="122">
        <f>+(C11+D11)/'Ud1'!B14</f>
        <v>2.8103947908878961</v>
      </c>
      <c r="F11" s="95">
        <f t="shared" si="0"/>
        <v>11983.52338834599</v>
      </c>
      <c r="G11" s="122">
        <f t="shared" si="1"/>
        <v>5.1891269905075095E-2</v>
      </c>
      <c r="H11" s="122">
        <f>+'Ud1'!B14/'Ud1'!C14</f>
        <v>129.21212121212122</v>
      </c>
      <c r="I11" s="262">
        <f>+(H11*'Ud1'!F14)+'Ud1'!G14</f>
        <v>363.13707237412092</v>
      </c>
    </row>
    <row r="12" spans="2:9" ht="15.6" x14ac:dyDescent="0.3">
      <c r="B12" s="256" t="s">
        <v>15</v>
      </c>
      <c r="C12" s="96">
        <f>+'Ud1'!B15*'Ud1'!F15</f>
        <v>913.83833977109555</v>
      </c>
      <c r="D12" s="96">
        <f>+'Ud1'!C15*'Ud1'!G15</f>
        <v>5380.1934134866697</v>
      </c>
      <c r="E12" s="122">
        <f>+(C12+D12)/'Ud1'!B15</f>
        <v>6.0461400127356058</v>
      </c>
      <c r="F12" s="95">
        <f t="shared" si="0"/>
        <v>6294.0317532577656</v>
      </c>
      <c r="G12" s="122">
        <f t="shared" si="1"/>
        <v>2.7254530234157699E-2</v>
      </c>
      <c r="H12" s="122">
        <f>+'Ud1'!B15/'Ud1'!C15</f>
        <v>57.833333333333336</v>
      </c>
      <c r="I12" s="262">
        <f>+(H12*'Ud1'!F15)+'Ud1'!G15</f>
        <v>349.66843073654252</v>
      </c>
    </row>
    <row r="13" spans="2:9" ht="15.6" x14ac:dyDescent="0.3">
      <c r="B13" s="257" t="s">
        <v>16</v>
      </c>
      <c r="C13" s="93">
        <f>SUM(C7:C12)</f>
        <v>87986.5</v>
      </c>
      <c r="D13" s="93">
        <f>SUM(D7:D12)</f>
        <v>142948.75</v>
      </c>
      <c r="E13" s="99">
        <f>+(C13+D13)/'Ud1'!B16</f>
        <v>1.7521110891930443</v>
      </c>
      <c r="F13" s="97">
        <f>SUM(F7:F12)</f>
        <v>230935.24999999994</v>
      </c>
      <c r="G13" s="99">
        <f>SUM(G7:G12)</f>
        <v>1.0000000000000002</v>
      </c>
      <c r="H13" s="99">
        <f>+'Ud1'!B16/'Ud1'!C16</f>
        <v>136.72614107883817</v>
      </c>
      <c r="I13" s="263"/>
    </row>
    <row r="14" spans="2:9" ht="16.2" thickBot="1" x14ac:dyDescent="0.35">
      <c r="B14" s="90"/>
      <c r="C14" s="91"/>
      <c r="D14" s="92"/>
      <c r="E14" s="98"/>
      <c r="F14" s="258"/>
      <c r="G14" s="259"/>
      <c r="H14" s="260"/>
      <c r="I14" s="264"/>
    </row>
    <row r="15" spans="2:9" x14ac:dyDescent="0.3">
      <c r="H15" s="141"/>
    </row>
    <row r="16" spans="2:9" ht="15" thickBot="1" x14ac:dyDescent="0.35"/>
    <row r="17" spans="2:9" ht="26.4" thickBot="1" x14ac:dyDescent="0.55000000000000004">
      <c r="B17" s="157" t="s">
        <v>109</v>
      </c>
      <c r="C17" s="155"/>
      <c r="D17" s="155"/>
      <c r="E17" s="155"/>
      <c r="F17" s="155"/>
      <c r="G17" s="156"/>
    </row>
    <row r="18" spans="2:9" ht="15" thickBot="1" x14ac:dyDescent="0.35"/>
    <row r="19" spans="2:9" ht="16.2" thickBot="1" x14ac:dyDescent="0.35">
      <c r="B19" s="60" t="s">
        <v>8</v>
      </c>
      <c r="C19" s="294" t="s">
        <v>96</v>
      </c>
      <c r="D19" s="295"/>
      <c r="E19" s="295"/>
      <c r="F19" s="295"/>
      <c r="G19" s="296"/>
    </row>
    <row r="20" spans="2:9" ht="16.2" thickBot="1" x14ac:dyDescent="0.35">
      <c r="B20" s="144"/>
      <c r="C20" s="76" t="s">
        <v>97</v>
      </c>
      <c r="D20" s="65" t="s">
        <v>16</v>
      </c>
      <c r="E20" s="59" t="s">
        <v>100</v>
      </c>
      <c r="F20" s="88" t="s">
        <v>98</v>
      </c>
      <c r="G20" s="59" t="s">
        <v>85</v>
      </c>
      <c r="H20" s="160">
        <v>2025</v>
      </c>
      <c r="I20" s="265" t="s">
        <v>108</v>
      </c>
    </row>
    <row r="21" spans="2:9" ht="15.6" x14ac:dyDescent="0.3">
      <c r="B21" s="145">
        <v>1</v>
      </c>
      <c r="C21" s="148">
        <v>80</v>
      </c>
      <c r="D21" s="63">
        <f>+(C21*'Ud1'!F10)+'Ud1'!G10</f>
        <v>133.28957508549314</v>
      </c>
      <c r="E21" s="77"/>
      <c r="F21" s="89">
        <f t="shared" ref="F21:F26" si="2">+D21*5%</f>
        <v>6.6644787542746577</v>
      </c>
      <c r="G21" s="149">
        <f t="shared" ref="G21:G26" si="3">+D21+F21+E21</f>
        <v>139.95405383976779</v>
      </c>
      <c r="H21" s="161">
        <f>C21*'Ud1'!I10+'Ud1'!J10+(C21*'Ud1'!I10+'Ud1'!J10)*5%</f>
        <v>139.24226400000001</v>
      </c>
      <c r="I21" s="266">
        <f>+G21-H21</f>
        <v>0.71178983976778909</v>
      </c>
    </row>
    <row r="22" spans="2:9" ht="15.6" x14ac:dyDescent="0.3">
      <c r="B22" s="145">
        <v>2</v>
      </c>
      <c r="C22" s="148">
        <v>100</v>
      </c>
      <c r="D22" s="63">
        <f>+(C22*'Ud1'!F11)+'Ud1'!G11</f>
        <v>224.41711316974192</v>
      </c>
      <c r="E22" s="77"/>
      <c r="F22" s="89">
        <f t="shared" si="2"/>
        <v>11.220855658487096</v>
      </c>
      <c r="G22" s="149">
        <f t="shared" si="3"/>
        <v>235.63796882822902</v>
      </c>
      <c r="H22" s="161">
        <f>C22*'Ud1'!I11+'Ud1'!J11+(C22*'Ud1'!I11+'Ud1'!J11)*5%</f>
        <v>233.25708000000003</v>
      </c>
      <c r="I22" s="267">
        <f t="shared" ref="I22:I26" si="4">+G22-H22</f>
        <v>2.38088882822899</v>
      </c>
    </row>
    <row r="23" spans="2:9" ht="15.6" x14ac:dyDescent="0.3">
      <c r="B23" s="145">
        <v>3</v>
      </c>
      <c r="C23" s="148">
        <v>120</v>
      </c>
      <c r="D23" s="63">
        <f>+(C23*'Ud1'!F12)+'Ud1'!G12</f>
        <v>267.73345316782934</v>
      </c>
      <c r="E23" s="77"/>
      <c r="F23" s="89">
        <f t="shared" si="2"/>
        <v>13.386672658391468</v>
      </c>
      <c r="G23" s="149">
        <f t="shared" si="3"/>
        <v>281.12012582622083</v>
      </c>
      <c r="H23" s="161">
        <f>C23*'Ud1'!I12+'Ud1'!J12+(C23*'Ud1'!I12+'Ud1'!J12)*5%</f>
        <v>279.27274199999999</v>
      </c>
      <c r="I23" s="267">
        <f t="shared" si="4"/>
        <v>1.8473838262208346</v>
      </c>
    </row>
    <row r="24" spans="2:9" ht="15.6" x14ac:dyDescent="0.3">
      <c r="B24" s="145">
        <v>4</v>
      </c>
      <c r="C24" s="148">
        <v>140</v>
      </c>
      <c r="D24" s="63">
        <f>+(C24*'Ud1'!F13)+'Ud1'!G13</f>
        <v>303.06894742193339</v>
      </c>
      <c r="E24" s="77"/>
      <c r="F24" s="89">
        <f t="shared" si="2"/>
        <v>15.15344737109667</v>
      </c>
      <c r="G24" s="149">
        <f t="shared" si="3"/>
        <v>318.22239479303005</v>
      </c>
      <c r="H24" s="161">
        <f>C24*'Ud1'!I13+'Ud1'!J13+(C24*'Ud1'!I13+'Ud1'!J13)*5%</f>
        <v>317.35552799999999</v>
      </c>
      <c r="I24" s="267">
        <f t="shared" si="4"/>
        <v>0.86686679303005576</v>
      </c>
    </row>
    <row r="25" spans="2:9" ht="15.6" x14ac:dyDescent="0.3">
      <c r="B25" s="146">
        <v>5</v>
      </c>
      <c r="C25" s="148">
        <v>160</v>
      </c>
      <c r="D25" s="63">
        <f>+(C25*'Ud1'!F14)+'Ud1'!G14</f>
        <v>388.91670630995941</v>
      </c>
      <c r="E25" s="77"/>
      <c r="F25" s="89">
        <f t="shared" si="2"/>
        <v>19.445835315497973</v>
      </c>
      <c r="G25" s="149">
        <f t="shared" si="3"/>
        <v>408.36254162545737</v>
      </c>
      <c r="H25" s="161">
        <f>C25*'Ud1'!I14+'Ud1'!J14+(C25*'Ud1'!I14+'Ud1'!J14)*5%</f>
        <v>406.46423999999996</v>
      </c>
      <c r="I25" s="267">
        <f t="shared" si="4"/>
        <v>1.8983016254574068</v>
      </c>
    </row>
    <row r="26" spans="2:9" ht="16.2" thickBot="1" x14ac:dyDescent="0.35">
      <c r="B26" s="147" t="s">
        <v>15</v>
      </c>
      <c r="C26" s="150">
        <v>180</v>
      </c>
      <c r="D26" s="151">
        <f>+(C26*'Ud1'!F15)+'Ud1'!G15</f>
        <v>456.91202712658617</v>
      </c>
      <c r="E26" s="152"/>
      <c r="F26" s="153">
        <f t="shared" si="2"/>
        <v>22.845601356329311</v>
      </c>
      <c r="G26" s="154">
        <f t="shared" si="3"/>
        <v>479.75762848291549</v>
      </c>
      <c r="H26" s="253">
        <f>C26*'Ud1'!I15+'Ud1'!J15+(C26*'Ud1'!I15+'Ud1'!J15)*5%</f>
        <v>477.59894699999995</v>
      </c>
      <c r="I26" s="268">
        <f t="shared" si="4"/>
        <v>2.1586814829155401</v>
      </c>
    </row>
    <row r="27" spans="2:9" ht="15.6" x14ac:dyDescent="0.3">
      <c r="B27" s="62"/>
    </row>
  </sheetData>
  <mergeCells count="1">
    <mergeCell ref="C19:G19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2"/>
  <sheetViews>
    <sheetView topLeftCell="G7" workbookViewId="0">
      <selection activeCell="O31" sqref="O31"/>
    </sheetView>
  </sheetViews>
  <sheetFormatPr defaultColWidth="9.109375" defaultRowHeight="15.6" x14ac:dyDescent="0.3"/>
  <cols>
    <col min="1" max="5" width="9.109375" style="2"/>
    <col min="6" max="6" width="38.33203125" style="2" customWidth="1"/>
    <col min="7" max="7" width="10.109375" style="2" bestFit="1" customWidth="1"/>
    <col min="8" max="9" width="9.109375" style="2"/>
    <col min="10" max="11" width="12.109375" style="2" customWidth="1"/>
    <col min="12" max="13" width="9.109375" style="2"/>
    <col min="14" max="15" width="12.109375" style="2" customWidth="1"/>
    <col min="16" max="16384" width="9.109375" style="2"/>
  </cols>
  <sheetData>
    <row r="1" spans="1:15" ht="25.8" x14ac:dyDescent="0.5">
      <c r="A1" s="4" t="s">
        <v>104</v>
      </c>
      <c r="B1"/>
      <c r="C1"/>
      <c r="D1"/>
    </row>
    <row r="2" spans="1:15" x14ac:dyDescent="0.3">
      <c r="A2"/>
      <c r="B2"/>
      <c r="C2"/>
      <c r="D2"/>
    </row>
    <row r="3" spans="1:15" ht="21" x14ac:dyDescent="0.4">
      <c r="A3" s="285" t="s">
        <v>92</v>
      </c>
      <c r="B3" s="286"/>
      <c r="C3" s="286"/>
      <c r="D3" s="286"/>
    </row>
    <row r="5" spans="1:15" ht="16.2" thickBot="1" x14ac:dyDescent="0.35"/>
    <row r="6" spans="1:15" ht="21.6" thickBot="1" x14ac:dyDescent="0.45">
      <c r="A6" s="290" t="s">
        <v>61</v>
      </c>
      <c r="B6" s="303"/>
      <c r="C6" s="303"/>
      <c r="D6" s="303"/>
      <c r="E6" s="303"/>
      <c r="F6" s="303"/>
      <c r="G6" s="303"/>
      <c r="H6" s="303"/>
      <c r="I6" s="303"/>
      <c r="J6" s="303"/>
      <c r="K6" s="304"/>
    </row>
    <row r="7" spans="1:15" ht="18.600000000000001" thickBot="1" x14ac:dyDescent="0.4">
      <c r="A7" s="57"/>
    </row>
    <row r="8" spans="1:15" ht="18.600000000000001" thickBot="1" x14ac:dyDescent="0.4">
      <c r="A8" s="75"/>
      <c r="D8" s="102"/>
      <c r="G8" s="9"/>
      <c r="H8" s="9"/>
      <c r="J8" s="288" t="s">
        <v>121</v>
      </c>
      <c r="K8" s="305"/>
      <c r="N8" s="288" t="s">
        <v>122</v>
      </c>
      <c r="O8" s="305"/>
    </row>
    <row r="9" spans="1:15" ht="16.2" thickBot="1" x14ac:dyDescent="0.35">
      <c r="A9" s="120" t="s">
        <v>62</v>
      </c>
      <c r="B9" s="306" t="str">
        <f>+TFnd!B9</f>
        <v>Attività</v>
      </c>
      <c r="C9" s="306"/>
      <c r="D9" s="306"/>
      <c r="E9" s="306"/>
      <c r="F9" s="307"/>
      <c r="G9" s="66" t="s">
        <v>32</v>
      </c>
      <c r="H9" s="66" t="s">
        <v>22</v>
      </c>
      <c r="I9" s="101" t="s">
        <v>24</v>
      </c>
      <c r="J9" s="76" t="s">
        <v>77</v>
      </c>
      <c r="K9" s="65" t="s">
        <v>78</v>
      </c>
      <c r="N9" s="76" t="s">
        <v>77</v>
      </c>
      <c r="O9" s="65" t="s">
        <v>78</v>
      </c>
    </row>
    <row r="10" spans="1:15" x14ac:dyDescent="0.3">
      <c r="A10" s="117">
        <v>1</v>
      </c>
      <c r="B10" s="299" t="s">
        <v>35</v>
      </c>
      <c r="C10" s="299"/>
      <c r="D10" s="299"/>
      <c r="E10" s="299"/>
      <c r="F10" s="300"/>
      <c r="G10" s="49">
        <v>364</v>
      </c>
      <c r="H10" s="223">
        <f>+Und!H9</f>
        <v>0.5</v>
      </c>
      <c r="I10" s="224">
        <v>2</v>
      </c>
      <c r="J10" s="77">
        <f>+TFnd!I10</f>
        <v>0.42307086429521124</v>
      </c>
      <c r="K10" s="77">
        <f>+TVnd!I10</f>
        <v>0.68025432673599795</v>
      </c>
      <c r="L10" s="167"/>
      <c r="N10" s="77">
        <v>0.437</v>
      </c>
      <c r="O10" s="77">
        <v>0.622</v>
      </c>
    </row>
    <row r="11" spans="1:15" x14ac:dyDescent="0.3">
      <c r="A11" s="117">
        <v>2</v>
      </c>
      <c r="B11" s="301" t="s">
        <v>48</v>
      </c>
      <c r="C11" s="301"/>
      <c r="D11" s="301"/>
      <c r="E11" s="301"/>
      <c r="F11" s="302"/>
      <c r="G11" s="50">
        <v>100</v>
      </c>
      <c r="H11" s="223">
        <f>+Und!H10</f>
        <v>0.5</v>
      </c>
      <c r="I11" s="225">
        <v>1</v>
      </c>
      <c r="J11" s="77">
        <f>+TFnd!I11</f>
        <v>0.74929418134212122</v>
      </c>
      <c r="K11" s="77">
        <f>+TVnd!I11</f>
        <v>1.2064510559464903</v>
      </c>
      <c r="N11" s="77">
        <v>0.77400000000000002</v>
      </c>
      <c r="O11" s="77">
        <v>1.1040000000000001</v>
      </c>
    </row>
    <row r="12" spans="1:15" x14ac:dyDescent="0.3">
      <c r="A12" s="117">
        <v>3</v>
      </c>
      <c r="B12" s="301" t="s">
        <v>36</v>
      </c>
      <c r="C12" s="301"/>
      <c r="D12" s="301"/>
      <c r="E12" s="301"/>
      <c r="F12" s="302"/>
      <c r="G12" s="50">
        <v>0</v>
      </c>
      <c r="H12" s="223">
        <f>+Und!H11</f>
        <v>1</v>
      </c>
      <c r="I12" s="225">
        <v>0</v>
      </c>
      <c r="J12" s="77">
        <f>+TFnd!I12</f>
        <v>0.64225215543610381</v>
      </c>
      <c r="K12" s="77">
        <f>+TVnd!I12</f>
        <v>1.0403889703021145</v>
      </c>
      <c r="N12" s="77">
        <v>0.66400000000000003</v>
      </c>
      <c r="O12" s="77">
        <v>0.95199999999999996</v>
      </c>
    </row>
    <row r="13" spans="1:15" x14ac:dyDescent="0.3">
      <c r="A13" s="117">
        <v>4</v>
      </c>
      <c r="B13" s="301" t="s">
        <v>37</v>
      </c>
      <c r="C13" s="301"/>
      <c r="D13" s="301"/>
      <c r="E13" s="301"/>
      <c r="F13" s="302"/>
      <c r="G13" s="50">
        <v>810</v>
      </c>
      <c r="H13" s="223">
        <f>+Und!H12</f>
        <v>1</v>
      </c>
      <c r="I13" s="225">
        <v>1</v>
      </c>
      <c r="J13" s="77">
        <f>+TFnd!I13</f>
        <v>0.4383625822817851</v>
      </c>
      <c r="K13" s="77">
        <f>+TVnd!I13</f>
        <v>0.71026554703317424</v>
      </c>
      <c r="N13" s="77">
        <v>0.45300000000000001</v>
      </c>
      <c r="O13" s="77">
        <v>0.65</v>
      </c>
    </row>
    <row r="14" spans="1:15" x14ac:dyDescent="0.3">
      <c r="A14" s="117">
        <v>5</v>
      </c>
      <c r="B14" s="301" t="s">
        <v>38</v>
      </c>
      <c r="C14" s="301"/>
      <c r="D14" s="301"/>
      <c r="E14" s="301"/>
      <c r="F14" s="302"/>
      <c r="G14" s="50">
        <v>0</v>
      </c>
      <c r="H14" s="223">
        <f>+Und!H13</f>
        <v>1</v>
      </c>
      <c r="I14" s="225">
        <v>0</v>
      </c>
      <c r="J14" s="77">
        <f>+TFnd!I14</f>
        <v>1.3558656614762192</v>
      </c>
      <c r="K14" s="77">
        <f>+TVnd!I14</f>
        <v>2.1868175856542522</v>
      </c>
      <c r="N14" s="77">
        <v>1.401</v>
      </c>
      <c r="O14" s="77">
        <v>2.0009999999999999</v>
      </c>
    </row>
    <row r="15" spans="1:15" x14ac:dyDescent="0.3">
      <c r="A15" s="117">
        <v>6</v>
      </c>
      <c r="B15" s="301" t="s">
        <v>39</v>
      </c>
      <c r="C15" s="301"/>
      <c r="D15" s="301"/>
      <c r="E15" s="301"/>
      <c r="F15" s="302"/>
      <c r="G15" s="50">
        <v>0</v>
      </c>
      <c r="H15" s="223">
        <v>0</v>
      </c>
      <c r="I15" s="225">
        <v>0</v>
      </c>
      <c r="J15" s="77">
        <f>+TFnd!I15</f>
        <v>0.87162792523471222</v>
      </c>
      <c r="K15" s="77">
        <f>+TVnd!I15</f>
        <v>1.4045251099078544</v>
      </c>
      <c r="N15" s="77">
        <v>0.90100000000000002</v>
      </c>
      <c r="O15" s="77">
        <v>1.2849999999999999</v>
      </c>
    </row>
    <row r="16" spans="1:15" x14ac:dyDescent="0.3">
      <c r="A16" s="117">
        <v>7</v>
      </c>
      <c r="B16" s="301" t="s">
        <v>40</v>
      </c>
      <c r="C16" s="301"/>
      <c r="D16" s="301"/>
      <c r="E16" s="301"/>
      <c r="F16" s="302"/>
      <c r="G16" s="50">
        <v>14600</v>
      </c>
      <c r="H16" s="223">
        <f>+Und!H15</f>
        <v>1</v>
      </c>
      <c r="I16" s="225">
        <v>1</v>
      </c>
      <c r="J16" s="77">
        <f>+TFnd!I16</f>
        <v>1.0194478657715933</v>
      </c>
      <c r="K16" s="77">
        <f>+TVnd!I16</f>
        <v>1.6386126282258302</v>
      </c>
      <c r="N16" s="77">
        <v>1.0529999999999999</v>
      </c>
      <c r="O16" s="77">
        <v>1.4990000000000001</v>
      </c>
    </row>
    <row r="17" spans="1:15" x14ac:dyDescent="0.3">
      <c r="A17" s="117">
        <v>8</v>
      </c>
      <c r="B17" s="301" t="s">
        <v>41</v>
      </c>
      <c r="C17" s="301"/>
      <c r="D17" s="301"/>
      <c r="E17" s="301"/>
      <c r="F17" s="302"/>
      <c r="G17" s="50">
        <v>0</v>
      </c>
      <c r="H17" s="223">
        <f>+Und!H16</f>
        <v>1</v>
      </c>
      <c r="I17" s="225">
        <v>0</v>
      </c>
      <c r="J17" s="77">
        <f>+TFnd!I17</f>
        <v>1.1519760883219003</v>
      </c>
      <c r="K17" s="77">
        <f>+TVnd!I17</f>
        <v>1.8606956584249357</v>
      </c>
      <c r="N17" s="77">
        <v>1.19</v>
      </c>
      <c r="O17" s="77">
        <v>1.702</v>
      </c>
    </row>
    <row r="18" spans="1:15" x14ac:dyDescent="0.3">
      <c r="A18" s="117">
        <v>9</v>
      </c>
      <c r="B18" s="301" t="s">
        <v>87</v>
      </c>
      <c r="C18" s="301"/>
      <c r="D18" s="301"/>
      <c r="E18" s="301"/>
      <c r="F18" s="302"/>
      <c r="G18" s="50">
        <v>1472</v>
      </c>
      <c r="H18" s="223">
        <f>+Und!H17</f>
        <v>1</v>
      </c>
      <c r="I18" s="225">
        <v>19</v>
      </c>
      <c r="J18" s="77">
        <f>+TFnd!I18</f>
        <v>0.59127976214752409</v>
      </c>
      <c r="K18" s="77">
        <f>+TVnd!I18</f>
        <v>0.9563575534700206</v>
      </c>
      <c r="N18" s="77">
        <v>0.61099999999999999</v>
      </c>
      <c r="O18" s="77">
        <v>0.875</v>
      </c>
    </row>
    <row r="19" spans="1:15" x14ac:dyDescent="0.3">
      <c r="A19" s="117">
        <v>10</v>
      </c>
      <c r="B19" s="301" t="s">
        <v>42</v>
      </c>
      <c r="C19" s="301"/>
      <c r="D19" s="301"/>
      <c r="E19" s="301"/>
      <c r="F19" s="302"/>
      <c r="G19" s="50">
        <v>577</v>
      </c>
      <c r="H19" s="223">
        <v>1</v>
      </c>
      <c r="I19" s="225">
        <v>6</v>
      </c>
      <c r="J19" s="77">
        <f>+TFnd!I19</f>
        <v>1.1315871310064687</v>
      </c>
      <c r="K19" s="77">
        <f>+TVnd!I19</f>
        <v>1.8246821940683238</v>
      </c>
      <c r="N19" s="77">
        <v>1.169</v>
      </c>
      <c r="O19" s="77">
        <v>1.669</v>
      </c>
    </row>
    <row r="20" spans="1:15" x14ac:dyDescent="0.3">
      <c r="A20" s="117">
        <v>11</v>
      </c>
      <c r="B20" s="301" t="s">
        <v>88</v>
      </c>
      <c r="C20" s="301"/>
      <c r="D20" s="301"/>
      <c r="E20" s="301"/>
      <c r="F20" s="302"/>
      <c r="G20" s="50">
        <v>91</v>
      </c>
      <c r="H20" s="223">
        <f>+Und!H19</f>
        <v>1</v>
      </c>
      <c r="I20" s="225">
        <v>1</v>
      </c>
      <c r="J20" s="77">
        <f>+TFnd!I20</f>
        <v>1.5495607559728217</v>
      </c>
      <c r="K20" s="77">
        <f>+TVnd!I20</f>
        <v>2.4909312846656393</v>
      </c>
      <c r="N20" s="77">
        <v>1.601</v>
      </c>
      <c r="O20" s="77">
        <v>2.2789999999999999</v>
      </c>
    </row>
    <row r="21" spans="1:15" x14ac:dyDescent="0.3">
      <c r="A21" s="117">
        <v>12</v>
      </c>
      <c r="B21" s="297" t="s">
        <v>89</v>
      </c>
      <c r="C21" s="297"/>
      <c r="D21" s="297"/>
      <c r="E21" s="297"/>
      <c r="F21" s="298"/>
      <c r="G21" s="50">
        <v>5865.5</v>
      </c>
      <c r="H21" s="223">
        <f>+Und!H20</f>
        <v>1</v>
      </c>
      <c r="I21" s="225">
        <v>24</v>
      </c>
      <c r="J21" s="77">
        <f>+TFnd!I21</f>
        <v>1.0602257804024571</v>
      </c>
      <c r="K21" s="77">
        <f>+TVnd!I21</f>
        <v>1.7006358168399949</v>
      </c>
      <c r="N21" s="77">
        <v>1.095</v>
      </c>
      <c r="O21" s="77">
        <v>1.556</v>
      </c>
    </row>
    <row r="22" spans="1:15" x14ac:dyDescent="0.3">
      <c r="A22" s="117">
        <v>13</v>
      </c>
      <c r="B22" s="297" t="s">
        <v>43</v>
      </c>
      <c r="C22" s="297"/>
      <c r="D22" s="297"/>
      <c r="E22" s="297"/>
      <c r="F22" s="298"/>
      <c r="G22" s="50">
        <v>285</v>
      </c>
      <c r="H22" s="223">
        <f>+Und!H21</f>
        <v>1</v>
      </c>
      <c r="I22" s="225">
        <v>1</v>
      </c>
      <c r="J22" s="77">
        <f>+TFnd!I22</f>
        <v>1.1825595242950482</v>
      </c>
      <c r="K22" s="77">
        <f>+TVnd!I22</f>
        <v>1.8967091227815471</v>
      </c>
      <c r="N22" s="77">
        <v>1.222</v>
      </c>
      <c r="O22" s="77">
        <v>1.7350000000000001</v>
      </c>
    </row>
    <row r="23" spans="1:15" x14ac:dyDescent="0.3">
      <c r="A23" s="117">
        <v>14</v>
      </c>
      <c r="B23" s="297" t="s">
        <v>44</v>
      </c>
      <c r="C23" s="297"/>
      <c r="D23" s="297"/>
      <c r="E23" s="297"/>
      <c r="F23" s="298"/>
      <c r="G23" s="50">
        <v>4326</v>
      </c>
      <c r="H23" s="223">
        <f>+Und!H22</f>
        <v>1</v>
      </c>
      <c r="I23" s="225">
        <v>3</v>
      </c>
      <c r="J23" s="77">
        <f>+TFnd!I23</f>
        <v>0.92769755785214991</v>
      </c>
      <c r="K23" s="77">
        <f>+TVnd!I23</f>
        <v>1.5005610148588189</v>
      </c>
      <c r="N23" s="77">
        <v>0.95899999999999996</v>
      </c>
      <c r="O23" s="77">
        <v>1.373</v>
      </c>
    </row>
    <row r="24" spans="1:15" x14ac:dyDescent="0.3">
      <c r="A24" s="117">
        <v>15</v>
      </c>
      <c r="B24" s="297" t="s">
        <v>45</v>
      </c>
      <c r="C24" s="297"/>
      <c r="D24" s="297"/>
      <c r="E24" s="297"/>
      <c r="F24" s="298"/>
      <c r="G24" s="50">
        <v>549</v>
      </c>
      <c r="H24" s="223">
        <f>+Und!H23</f>
        <v>1</v>
      </c>
      <c r="I24" s="225">
        <v>3</v>
      </c>
      <c r="J24" s="77">
        <f>+TFnd!I24</f>
        <v>1.1111981736910368</v>
      </c>
      <c r="K24" s="77">
        <f>+TVnd!I24</f>
        <v>1.7846672336720886</v>
      </c>
      <c r="N24" s="77">
        <v>1.1479999999999999</v>
      </c>
      <c r="O24" s="77">
        <v>1.633</v>
      </c>
    </row>
    <row r="25" spans="1:15" x14ac:dyDescent="0.3">
      <c r="A25" s="117">
        <v>16</v>
      </c>
      <c r="B25" s="297" t="s">
        <v>49</v>
      </c>
      <c r="C25" s="297"/>
      <c r="D25" s="297"/>
      <c r="E25" s="297"/>
      <c r="F25" s="298"/>
      <c r="G25" s="50">
        <v>0</v>
      </c>
      <c r="H25" s="223">
        <f>+Und!H24</f>
        <v>0</v>
      </c>
      <c r="I25" s="225">
        <v>0</v>
      </c>
      <c r="J25" s="77">
        <f>+TFnd!I25</f>
        <v>4.9341276703345116</v>
      </c>
      <c r="K25" s="77">
        <f>+TVnd!I25</f>
        <v>7.9369673945932471</v>
      </c>
      <c r="N25" s="77">
        <v>5.0979999999999999</v>
      </c>
      <c r="O25" s="77">
        <v>7.2610000000000001</v>
      </c>
    </row>
    <row r="26" spans="1:15" x14ac:dyDescent="0.3">
      <c r="A26" s="117">
        <v>17</v>
      </c>
      <c r="B26" s="297" t="s">
        <v>46</v>
      </c>
      <c r="C26" s="297"/>
      <c r="D26" s="297"/>
      <c r="E26" s="297"/>
      <c r="F26" s="298"/>
      <c r="G26" s="50">
        <v>295</v>
      </c>
      <c r="H26" s="223">
        <f>+Und!H25</f>
        <v>0</v>
      </c>
      <c r="I26" s="225">
        <v>3</v>
      </c>
      <c r="J26" s="77">
        <f>+TFnd!I26</f>
        <v>3.7107902314085996</v>
      </c>
      <c r="K26" s="77">
        <f>+TVnd!I26</f>
        <v>5.966230595078664</v>
      </c>
      <c r="N26" s="77">
        <v>3.8340000000000001</v>
      </c>
      <c r="O26" s="77">
        <v>5.4580000000000002</v>
      </c>
    </row>
    <row r="27" spans="1:15" x14ac:dyDescent="0.3">
      <c r="A27" s="117">
        <v>18</v>
      </c>
      <c r="B27" s="297" t="s">
        <v>47</v>
      </c>
      <c r="C27" s="297"/>
      <c r="D27" s="297"/>
      <c r="E27" s="297"/>
      <c r="F27" s="298"/>
      <c r="G27" s="50">
        <v>129</v>
      </c>
      <c r="H27" s="223">
        <f>+Und!H26</f>
        <v>1</v>
      </c>
      <c r="I27" s="225">
        <v>2</v>
      </c>
      <c r="J27" s="77">
        <f>+TFnd!I27</f>
        <v>2.1102570821471978</v>
      </c>
      <c r="K27" s="77">
        <f>+TVnd!I27</f>
        <v>3.9114623787319882</v>
      </c>
      <c r="N27" s="77">
        <v>2.1800000000000002</v>
      </c>
      <c r="O27" s="77">
        <v>3.5779999999999998</v>
      </c>
    </row>
    <row r="28" spans="1:15" x14ac:dyDescent="0.3">
      <c r="A28" s="117">
        <v>19</v>
      </c>
      <c r="B28" s="297" t="s">
        <v>50</v>
      </c>
      <c r="C28" s="297"/>
      <c r="D28" s="297"/>
      <c r="E28" s="297"/>
      <c r="F28" s="298"/>
      <c r="G28" s="50">
        <v>150</v>
      </c>
      <c r="H28" s="223">
        <f>+Und!H27</f>
        <v>0.5</v>
      </c>
      <c r="I28" s="225">
        <v>2</v>
      </c>
      <c r="J28" s="77">
        <f>+TFnd!I28</f>
        <v>2.1153543214760564</v>
      </c>
      <c r="K28" s="77">
        <f>+TVnd!I28</f>
        <v>3.4012716336799897</v>
      </c>
      <c r="N28" s="77">
        <v>2.1859999999999999</v>
      </c>
      <c r="O28" s="77">
        <v>3.1120000000000001</v>
      </c>
    </row>
    <row r="29" spans="1:15" x14ac:dyDescent="0.3">
      <c r="A29" s="117">
        <v>20</v>
      </c>
      <c r="B29" s="297" t="s">
        <v>90</v>
      </c>
      <c r="C29" s="297"/>
      <c r="D29" s="297"/>
      <c r="E29" s="297"/>
      <c r="F29" s="298"/>
      <c r="G29" s="50">
        <v>0</v>
      </c>
      <c r="H29" s="223">
        <f>+Und!H28</f>
        <v>0</v>
      </c>
      <c r="I29" s="225"/>
      <c r="J29" s="77">
        <f>+TFnd!I29</f>
        <v>6.177854066575855</v>
      </c>
      <c r="K29" s="77">
        <f>+TVnd!I29</f>
        <v>9.947719154504064</v>
      </c>
      <c r="N29" s="77">
        <v>6.383</v>
      </c>
      <c r="O29" s="77">
        <v>9.1</v>
      </c>
    </row>
    <row r="30" spans="1:15" x14ac:dyDescent="0.3">
      <c r="A30" s="117">
        <v>21</v>
      </c>
      <c r="B30" s="297" t="s">
        <v>51</v>
      </c>
      <c r="C30" s="297"/>
      <c r="D30" s="297"/>
      <c r="E30" s="297"/>
      <c r="F30" s="298"/>
      <c r="G30" s="50">
        <v>0</v>
      </c>
      <c r="H30" s="226">
        <f>+Und!H29</f>
        <v>0.5</v>
      </c>
      <c r="I30" s="227"/>
      <c r="J30" s="228">
        <f>+TFnd!I30</f>
        <v>1.366060140133935</v>
      </c>
      <c r="K30" s="228">
        <f>+TVnd!I30</f>
        <v>2.2018231958028402</v>
      </c>
      <c r="N30" s="228">
        <v>1.411</v>
      </c>
      <c r="O30" s="228">
        <v>2.0139999999999998</v>
      </c>
    </row>
    <row r="31" spans="1:15" x14ac:dyDescent="0.3">
      <c r="G31" s="183">
        <f>SUM(G10:G30)</f>
        <v>29613.5</v>
      </c>
      <c r="H31" s="183">
        <f>SUM(H10:H30)</f>
        <v>15</v>
      </c>
      <c r="I31" s="183">
        <f>SUM(I10:I30)</f>
        <v>69</v>
      </c>
      <c r="J31" s="183">
        <f>SUM(J10:J30)</f>
        <v>34.620449521603298</v>
      </c>
      <c r="K31" s="183">
        <f>SUM(K10:K30)</f>
        <v>56.248029454977875</v>
      </c>
      <c r="N31" s="183">
        <v>35.770000000000003</v>
      </c>
      <c r="O31" s="183">
        <v>51.46</v>
      </c>
    </row>
    <row r="32" spans="1:15" x14ac:dyDescent="0.3">
      <c r="G32" s="49"/>
      <c r="I32" s="168"/>
    </row>
  </sheetData>
  <mergeCells count="26">
    <mergeCell ref="N8:O8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A3:D3"/>
    <mergeCell ref="B10:F10"/>
    <mergeCell ref="B11:F11"/>
    <mergeCell ref="B20:F20"/>
    <mergeCell ref="B12:F12"/>
    <mergeCell ref="B13:F13"/>
    <mergeCell ref="B14:F14"/>
    <mergeCell ref="B15:F15"/>
    <mergeCell ref="B16:F16"/>
    <mergeCell ref="B17:F17"/>
    <mergeCell ref="B18:F18"/>
    <mergeCell ref="B19:F19"/>
    <mergeCell ref="A6:K6"/>
    <mergeCell ref="J8:K8"/>
    <mergeCell ref="B9:F9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K34"/>
  <sheetViews>
    <sheetView workbookViewId="0">
      <selection activeCell="F10" sqref="F10"/>
    </sheetView>
  </sheetViews>
  <sheetFormatPr defaultRowHeight="14.4" x14ac:dyDescent="0.3"/>
  <cols>
    <col min="1" max="1" width="5" customWidth="1"/>
    <col min="2" max="2" width="64.6640625" customWidth="1"/>
    <col min="3" max="3" width="11.44140625" customWidth="1"/>
    <col min="7" max="7" width="10.109375" customWidth="1"/>
    <col min="8" max="8" width="11.88671875" customWidth="1"/>
    <col min="9" max="9" width="10.44140625" customWidth="1"/>
    <col min="10" max="10" width="3.44140625" customWidth="1"/>
    <col min="11" max="11" width="14.5546875" customWidth="1"/>
  </cols>
  <sheetData>
    <row r="1" spans="1:11" ht="25.8" x14ac:dyDescent="0.5">
      <c r="A1" s="4" t="s">
        <v>58</v>
      </c>
    </row>
    <row r="3" spans="1:11" ht="21" x14ac:dyDescent="0.4">
      <c r="A3" s="285" t="s">
        <v>92</v>
      </c>
      <c r="B3" s="286"/>
      <c r="C3" s="286"/>
      <c r="D3" s="286"/>
    </row>
    <row r="4" spans="1:11" x14ac:dyDescent="0.3">
      <c r="B4" s="31" t="s">
        <v>52</v>
      </c>
      <c r="C4" s="1">
        <f>+Dati!D18</f>
        <v>29995.5</v>
      </c>
    </row>
    <row r="5" spans="1:11" x14ac:dyDescent="0.3">
      <c r="B5" s="31" t="s">
        <v>1</v>
      </c>
      <c r="C5" s="1">
        <f>+H31</f>
        <v>29423.279999999995</v>
      </c>
    </row>
    <row r="6" spans="1:11" x14ac:dyDescent="0.3">
      <c r="B6" s="31" t="s">
        <v>27</v>
      </c>
      <c r="C6">
        <f>+C4/H31</f>
        <v>1.0194478657715933</v>
      </c>
    </row>
    <row r="7" spans="1:11" x14ac:dyDescent="0.3">
      <c r="B7" s="31" t="s">
        <v>28</v>
      </c>
      <c r="C7" s="34">
        <v>1</v>
      </c>
    </row>
    <row r="8" spans="1:11" ht="15" thickBot="1" x14ac:dyDescent="0.35">
      <c r="B8" s="28"/>
      <c r="E8" s="9"/>
      <c r="G8" s="9"/>
      <c r="I8" s="14" t="s">
        <v>29</v>
      </c>
      <c r="J8" s="14"/>
    </row>
    <row r="9" spans="1:11" ht="15" thickBot="1" x14ac:dyDescent="0.35">
      <c r="A9" s="35"/>
      <c r="B9" s="36" t="s">
        <v>30</v>
      </c>
      <c r="C9" s="36" t="s">
        <v>93</v>
      </c>
      <c r="D9" s="36" t="s">
        <v>94</v>
      </c>
      <c r="E9" s="37" t="s">
        <v>22</v>
      </c>
      <c r="F9" s="36" t="s">
        <v>31</v>
      </c>
      <c r="G9" s="41" t="s">
        <v>32</v>
      </c>
      <c r="H9" s="36" t="s">
        <v>33</v>
      </c>
      <c r="I9" s="38" t="s">
        <v>34</v>
      </c>
      <c r="J9" s="36"/>
      <c r="K9" s="36" t="s">
        <v>14</v>
      </c>
    </row>
    <row r="10" spans="1:11" x14ac:dyDescent="0.3">
      <c r="A10" s="39">
        <v>1</v>
      </c>
      <c r="B10" s="42" t="str">
        <f>+'Und1'!B10</f>
        <v>Musei, biblioteche, scuole, associazioni, luoghi di culto</v>
      </c>
      <c r="C10" s="86">
        <v>0.32</v>
      </c>
      <c r="D10" s="86">
        <v>0.51</v>
      </c>
      <c r="E10" s="43">
        <v>0.5</v>
      </c>
      <c r="F10" s="44">
        <f t="shared" ref="F10:F30" si="0">+C10+E10*(D10-C10)</f>
        <v>0.41500000000000004</v>
      </c>
      <c r="G10" s="58">
        <f>+'Und1'!G10</f>
        <v>364</v>
      </c>
      <c r="H10" s="45">
        <f>+F10*G10</f>
        <v>151.06</v>
      </c>
      <c r="I10" s="79">
        <f>+F10*$C$6</f>
        <v>0.42307086429521124</v>
      </c>
      <c r="J10" s="49"/>
      <c r="K10" s="49">
        <f>+I10*G10</f>
        <v>153.9977946034569</v>
      </c>
    </row>
    <row r="11" spans="1:11" x14ac:dyDescent="0.3">
      <c r="A11" s="40">
        <v>2</v>
      </c>
      <c r="B11" s="42" t="str">
        <f>+'Und1'!B11</f>
        <v>Campeggi, distributori carburanti, impianti sportivi</v>
      </c>
      <c r="C11" s="87">
        <v>0.67</v>
      </c>
      <c r="D11" s="87">
        <v>0.8</v>
      </c>
      <c r="E11" s="43">
        <v>0.5</v>
      </c>
      <c r="F11" s="46">
        <f t="shared" si="0"/>
        <v>0.7350000000000001</v>
      </c>
      <c r="G11" s="58">
        <f>+'Und1'!G11</f>
        <v>100</v>
      </c>
      <c r="H11" s="47">
        <f t="shared" ref="H11:H30" si="1">+F11*G11</f>
        <v>73.500000000000014</v>
      </c>
      <c r="I11" s="80">
        <f t="shared" ref="I11:I30" si="2">+F11*$C$6</f>
        <v>0.74929418134212122</v>
      </c>
      <c r="J11" s="50"/>
      <c r="K11" s="50">
        <f t="shared" ref="K11:K30" si="3">+I11*G11</f>
        <v>74.929418134212128</v>
      </c>
    </row>
    <row r="12" spans="1:11" x14ac:dyDescent="0.3">
      <c r="A12" s="39">
        <v>3</v>
      </c>
      <c r="B12" s="42" t="str">
        <f>+'Und1'!B12</f>
        <v>Stabilimenti balneari</v>
      </c>
      <c r="C12" s="87">
        <v>0.38</v>
      </c>
      <c r="D12" s="87">
        <v>0.63</v>
      </c>
      <c r="E12" s="43">
        <v>1</v>
      </c>
      <c r="F12" s="46">
        <f t="shared" si="0"/>
        <v>0.63</v>
      </c>
      <c r="G12" s="58">
        <f>+'Und1'!G12</f>
        <v>0</v>
      </c>
      <c r="H12" s="47">
        <f t="shared" si="1"/>
        <v>0</v>
      </c>
      <c r="I12" s="80">
        <f t="shared" si="2"/>
        <v>0.64225215543610381</v>
      </c>
      <c r="J12" s="50"/>
      <c r="K12" s="50">
        <f t="shared" si="3"/>
        <v>0</v>
      </c>
    </row>
    <row r="13" spans="1:11" x14ac:dyDescent="0.3">
      <c r="A13" s="40">
        <v>4</v>
      </c>
      <c r="B13" s="42" t="str">
        <f>+'Und1'!B13</f>
        <v>Esposizioni, autosaloni</v>
      </c>
      <c r="C13" s="87">
        <v>0.3</v>
      </c>
      <c r="D13" s="87">
        <v>0.43</v>
      </c>
      <c r="E13" s="43">
        <v>1</v>
      </c>
      <c r="F13" s="46">
        <f t="shared" si="0"/>
        <v>0.43</v>
      </c>
      <c r="G13" s="58">
        <f>+'Und1'!G13</f>
        <v>810</v>
      </c>
      <c r="H13" s="47">
        <f t="shared" si="1"/>
        <v>348.3</v>
      </c>
      <c r="I13" s="80">
        <f t="shared" si="2"/>
        <v>0.4383625822817851</v>
      </c>
      <c r="J13" s="50"/>
      <c r="K13" s="50">
        <f t="shared" si="3"/>
        <v>355.07369164824593</v>
      </c>
    </row>
    <row r="14" spans="1:11" x14ac:dyDescent="0.3">
      <c r="A14" s="39">
        <v>5</v>
      </c>
      <c r="B14" s="42" t="str">
        <f>+'Und1'!B14</f>
        <v>Alberghi con ristorante</v>
      </c>
      <c r="C14" s="87">
        <v>1.07</v>
      </c>
      <c r="D14" s="87">
        <v>1.33</v>
      </c>
      <c r="E14" s="43">
        <v>1</v>
      </c>
      <c r="F14" s="46">
        <f t="shared" si="0"/>
        <v>1.33</v>
      </c>
      <c r="G14" s="58">
        <f>+'Und1'!G14</f>
        <v>0</v>
      </c>
      <c r="H14" s="47">
        <f t="shared" si="1"/>
        <v>0</v>
      </c>
      <c r="I14" s="80">
        <f t="shared" si="2"/>
        <v>1.3558656614762192</v>
      </c>
      <c r="J14" s="50"/>
      <c r="K14" s="50">
        <f t="shared" si="3"/>
        <v>0</v>
      </c>
    </row>
    <row r="15" spans="1:11" x14ac:dyDescent="0.3">
      <c r="A15" s="40">
        <v>6</v>
      </c>
      <c r="B15" s="42" t="str">
        <f>+'Und1'!B15</f>
        <v>Alberghi senza ristorante</v>
      </c>
      <c r="C15" s="87">
        <v>0.8</v>
      </c>
      <c r="D15" s="87">
        <v>0.91</v>
      </c>
      <c r="E15" s="43">
        <v>0.5</v>
      </c>
      <c r="F15" s="46">
        <f t="shared" si="0"/>
        <v>0.85499999999999998</v>
      </c>
      <c r="G15" s="58">
        <f>+'Und1'!G15</f>
        <v>0</v>
      </c>
      <c r="H15" s="47">
        <f t="shared" si="1"/>
        <v>0</v>
      </c>
      <c r="I15" s="80">
        <f t="shared" si="2"/>
        <v>0.87162792523471222</v>
      </c>
      <c r="J15" s="50"/>
      <c r="K15" s="50">
        <f t="shared" si="3"/>
        <v>0</v>
      </c>
    </row>
    <row r="16" spans="1:11" x14ac:dyDescent="0.3">
      <c r="A16" s="39">
        <v>7</v>
      </c>
      <c r="B16" s="42" t="str">
        <f>+'Und1'!B16</f>
        <v>Case di cura e riposo</v>
      </c>
      <c r="C16" s="87">
        <v>0.95</v>
      </c>
      <c r="D16" s="87">
        <v>1</v>
      </c>
      <c r="E16" s="43">
        <v>1</v>
      </c>
      <c r="F16" s="46">
        <f t="shared" si="0"/>
        <v>1</v>
      </c>
      <c r="G16" s="58">
        <f>+'Und1'!G16</f>
        <v>14600</v>
      </c>
      <c r="H16" s="47">
        <f t="shared" si="1"/>
        <v>14600</v>
      </c>
      <c r="I16" s="80">
        <f t="shared" si="2"/>
        <v>1.0194478657715933</v>
      </c>
      <c r="J16" s="50"/>
      <c r="K16" s="50">
        <f t="shared" si="3"/>
        <v>14883.938840265262</v>
      </c>
    </row>
    <row r="17" spans="1:11" x14ac:dyDescent="0.3">
      <c r="A17" s="40">
        <v>8</v>
      </c>
      <c r="B17" s="42" t="str">
        <f>+'Und1'!B17</f>
        <v>Uffici, agenzie, studi professionali</v>
      </c>
      <c r="C17" s="87">
        <v>1</v>
      </c>
      <c r="D17" s="87">
        <v>1.1299999999999999</v>
      </c>
      <c r="E17" s="43">
        <v>1</v>
      </c>
      <c r="F17" s="46">
        <f t="shared" si="0"/>
        <v>1.1299999999999999</v>
      </c>
      <c r="G17" s="58">
        <f>+'Und1'!G17</f>
        <v>0</v>
      </c>
      <c r="H17" s="47">
        <f t="shared" si="1"/>
        <v>0</v>
      </c>
      <c r="I17" s="80">
        <f t="shared" si="2"/>
        <v>1.1519760883219003</v>
      </c>
      <c r="J17" s="50"/>
      <c r="K17" s="50">
        <f t="shared" si="3"/>
        <v>0</v>
      </c>
    </row>
    <row r="18" spans="1:11" x14ac:dyDescent="0.3">
      <c r="A18" s="39">
        <v>9</v>
      </c>
      <c r="B18" s="42" t="str">
        <f>+'Und1'!B18</f>
        <v>Banche ed istituti di credito</v>
      </c>
      <c r="C18" s="87">
        <v>0.55000000000000004</v>
      </c>
      <c r="D18" s="87">
        <v>0.57999999999999996</v>
      </c>
      <c r="E18" s="43">
        <v>1</v>
      </c>
      <c r="F18" s="46">
        <f t="shared" si="0"/>
        <v>0.57999999999999996</v>
      </c>
      <c r="G18" s="58">
        <f>+'Und1'!G18</f>
        <v>1472</v>
      </c>
      <c r="H18" s="47">
        <f t="shared" si="1"/>
        <v>853.76</v>
      </c>
      <c r="I18" s="80">
        <f t="shared" si="2"/>
        <v>0.59127976214752409</v>
      </c>
      <c r="J18" s="50"/>
      <c r="K18" s="50">
        <f t="shared" si="3"/>
        <v>870.36380988115548</v>
      </c>
    </row>
    <row r="19" spans="1:11" ht="28.8" x14ac:dyDescent="0.3">
      <c r="A19" s="40">
        <v>10</v>
      </c>
      <c r="B19" s="42" t="str">
        <f>+'Und1'!B19</f>
        <v>Negozi abbigliamento, calzature, libreria, cartoleria, ferramenta, e altri beni durevoli</v>
      </c>
      <c r="C19" s="87">
        <v>0.87</v>
      </c>
      <c r="D19" s="87">
        <v>1.1100000000000001</v>
      </c>
      <c r="E19" s="43">
        <v>1</v>
      </c>
      <c r="F19" s="46">
        <f t="shared" si="0"/>
        <v>1.1100000000000001</v>
      </c>
      <c r="G19" s="58">
        <f>+'Und1'!G19</f>
        <v>577</v>
      </c>
      <c r="H19" s="47">
        <f t="shared" si="1"/>
        <v>640.47</v>
      </c>
      <c r="I19" s="80">
        <f t="shared" si="2"/>
        <v>1.1315871310064687</v>
      </c>
      <c r="J19" s="50"/>
      <c r="K19" s="50">
        <f t="shared" si="3"/>
        <v>652.92577459073243</v>
      </c>
    </row>
    <row r="20" spans="1:11" x14ac:dyDescent="0.3">
      <c r="A20" s="40">
        <v>11</v>
      </c>
      <c r="B20" s="42" t="str">
        <f>+'Und1'!B20</f>
        <v>Edicola, farmacia, tabaccaio, plurilicenze</v>
      </c>
      <c r="C20" s="87">
        <v>1.07</v>
      </c>
      <c r="D20" s="87">
        <v>1.52</v>
      </c>
      <c r="E20" s="43">
        <v>1</v>
      </c>
      <c r="F20" s="46">
        <f t="shared" si="0"/>
        <v>1.52</v>
      </c>
      <c r="G20" s="58">
        <f>+'Und1'!G20</f>
        <v>91</v>
      </c>
      <c r="H20" s="47">
        <f t="shared" si="1"/>
        <v>138.32</v>
      </c>
      <c r="I20" s="80">
        <f t="shared" si="2"/>
        <v>1.5495607559728217</v>
      </c>
      <c r="J20" s="50"/>
      <c r="K20" s="50">
        <f t="shared" si="3"/>
        <v>141.01002879352677</v>
      </c>
    </row>
    <row r="21" spans="1:11" ht="28.8" x14ac:dyDescent="0.3">
      <c r="A21" s="39">
        <v>12</v>
      </c>
      <c r="B21" s="42" t="str">
        <f>+'Und1'!B21</f>
        <v>Attività artigianali tipo botteghe: falegname, idraulico, fabbro, elettricista, parrucc.</v>
      </c>
      <c r="C21" s="87">
        <v>0.72</v>
      </c>
      <c r="D21" s="87">
        <v>1.04</v>
      </c>
      <c r="E21" s="43">
        <v>1</v>
      </c>
      <c r="F21" s="46">
        <f t="shared" si="0"/>
        <v>1.04</v>
      </c>
      <c r="G21" s="58">
        <f>+'Und1'!G21</f>
        <v>5865.5</v>
      </c>
      <c r="H21" s="47">
        <f t="shared" si="1"/>
        <v>6100.12</v>
      </c>
      <c r="I21" s="80">
        <f t="shared" si="2"/>
        <v>1.0602257804024571</v>
      </c>
      <c r="J21" s="50"/>
      <c r="K21" s="50">
        <f t="shared" si="3"/>
        <v>6218.7543149506118</v>
      </c>
    </row>
    <row r="22" spans="1:11" x14ac:dyDescent="0.3">
      <c r="A22" s="40">
        <v>13</v>
      </c>
      <c r="B22" s="42" t="str">
        <f>+'Und1'!B22</f>
        <v>Carrozzeria, autofficina, elettrauto</v>
      </c>
      <c r="C22" s="87">
        <v>0.92</v>
      </c>
      <c r="D22" s="87">
        <v>1.1599999999999999</v>
      </c>
      <c r="E22" s="43">
        <v>1</v>
      </c>
      <c r="F22" s="46">
        <f t="shared" si="0"/>
        <v>1.1599999999999999</v>
      </c>
      <c r="G22" s="58">
        <f>+'Und1'!G22</f>
        <v>285</v>
      </c>
      <c r="H22" s="47">
        <f t="shared" si="1"/>
        <v>330.59999999999997</v>
      </c>
      <c r="I22" s="80">
        <f t="shared" si="2"/>
        <v>1.1825595242950482</v>
      </c>
      <c r="J22" s="50"/>
      <c r="K22" s="50">
        <f t="shared" si="3"/>
        <v>337.02946442408876</v>
      </c>
    </row>
    <row r="23" spans="1:11" x14ac:dyDescent="0.3">
      <c r="A23" s="39">
        <v>14</v>
      </c>
      <c r="B23" s="42" t="str">
        <f>+'Und1'!B23</f>
        <v>Attività industriali con capannoni di produzione</v>
      </c>
      <c r="C23" s="87">
        <v>0.43</v>
      </c>
      <c r="D23" s="87">
        <v>0.91</v>
      </c>
      <c r="E23" s="43">
        <v>1</v>
      </c>
      <c r="F23" s="46">
        <f t="shared" si="0"/>
        <v>0.91</v>
      </c>
      <c r="G23" s="58">
        <f>+'Und1'!G23</f>
        <v>4326</v>
      </c>
      <c r="H23" s="47">
        <f t="shared" si="1"/>
        <v>3936.6600000000003</v>
      </c>
      <c r="I23" s="80">
        <f t="shared" si="2"/>
        <v>0.92769755785214991</v>
      </c>
      <c r="J23" s="50"/>
      <c r="K23" s="50">
        <f t="shared" si="3"/>
        <v>4013.2196352684005</v>
      </c>
    </row>
    <row r="24" spans="1:11" x14ac:dyDescent="0.3">
      <c r="A24" s="40">
        <v>15</v>
      </c>
      <c r="B24" s="42" t="str">
        <f>+'Und1'!B24</f>
        <v>Attività artigianali di produzione beni specifici</v>
      </c>
      <c r="C24" s="87">
        <v>0.55000000000000004</v>
      </c>
      <c r="D24" s="87">
        <v>1.0900000000000001</v>
      </c>
      <c r="E24" s="43">
        <v>1</v>
      </c>
      <c r="F24" s="46">
        <f t="shared" si="0"/>
        <v>1.0900000000000001</v>
      </c>
      <c r="G24" s="58">
        <f>+'Und1'!G24</f>
        <v>549</v>
      </c>
      <c r="H24" s="47">
        <f t="shared" si="1"/>
        <v>598.41000000000008</v>
      </c>
      <c r="I24" s="80">
        <f t="shared" si="2"/>
        <v>1.1111981736910368</v>
      </c>
      <c r="J24" s="50"/>
      <c r="K24" s="50">
        <f t="shared" si="3"/>
        <v>610.04779735637919</v>
      </c>
    </row>
    <row r="25" spans="1:11" x14ac:dyDescent="0.3">
      <c r="A25" s="40">
        <v>16</v>
      </c>
      <c r="B25" s="42" t="str">
        <f>+'Und1'!B25</f>
        <v>Ristoranti, trattorie, osterie, pizzerie, mense, pub, birrerie</v>
      </c>
      <c r="C25" s="87">
        <v>4.84</v>
      </c>
      <c r="D25" s="87">
        <v>7.42</v>
      </c>
      <c r="E25" s="43">
        <v>0</v>
      </c>
      <c r="F25" s="46">
        <f t="shared" si="0"/>
        <v>4.84</v>
      </c>
      <c r="G25" s="58">
        <f>+'Und1'!G25</f>
        <v>0</v>
      </c>
      <c r="H25" s="85">
        <f t="shared" si="1"/>
        <v>0</v>
      </c>
      <c r="I25" s="80">
        <f t="shared" si="2"/>
        <v>4.9341276703345116</v>
      </c>
      <c r="J25" s="50"/>
      <c r="K25" s="85">
        <f t="shared" si="3"/>
        <v>0</v>
      </c>
    </row>
    <row r="26" spans="1:11" x14ac:dyDescent="0.3">
      <c r="A26" s="39">
        <v>17</v>
      </c>
      <c r="B26" s="42" t="str">
        <f>+'Und1'!B26</f>
        <v>Bar, caffè, pasticceria</v>
      </c>
      <c r="C26" s="87">
        <v>3.64</v>
      </c>
      <c r="D26" s="87">
        <v>6.28</v>
      </c>
      <c r="E26" s="43">
        <v>0</v>
      </c>
      <c r="F26" s="46">
        <f t="shared" si="0"/>
        <v>3.64</v>
      </c>
      <c r="G26" s="58">
        <f>+'Und1'!G26</f>
        <v>295</v>
      </c>
      <c r="H26" s="47">
        <f t="shared" si="1"/>
        <v>1073.8</v>
      </c>
      <c r="I26" s="80">
        <f t="shared" si="2"/>
        <v>3.7107902314085996</v>
      </c>
      <c r="J26" s="50"/>
      <c r="K26" s="50">
        <f t="shared" si="3"/>
        <v>1094.6831182655369</v>
      </c>
    </row>
    <row r="27" spans="1:11" x14ac:dyDescent="0.3">
      <c r="A27" s="39">
        <v>18</v>
      </c>
      <c r="B27" s="42" t="str">
        <f>+'Und1'!B27</f>
        <v>Supermercato, pane e pasta, macelleria, salumi e formaggi, generi alimentari</v>
      </c>
      <c r="C27" s="87">
        <v>1.76</v>
      </c>
      <c r="D27" s="87">
        <v>2.38</v>
      </c>
      <c r="E27" s="43">
        <v>0.5</v>
      </c>
      <c r="F27" s="46">
        <f t="shared" si="0"/>
        <v>2.0699999999999998</v>
      </c>
      <c r="G27" s="58">
        <f>+'Und1'!G27</f>
        <v>129</v>
      </c>
      <c r="H27" s="47">
        <f t="shared" si="1"/>
        <v>267.02999999999997</v>
      </c>
      <c r="I27" s="80">
        <f t="shared" si="2"/>
        <v>2.1102570821471978</v>
      </c>
      <c r="J27" s="50"/>
      <c r="K27" s="50">
        <f t="shared" si="3"/>
        <v>272.22316359698851</v>
      </c>
    </row>
    <row r="28" spans="1:11" x14ac:dyDescent="0.3">
      <c r="A28" s="40">
        <v>19</v>
      </c>
      <c r="B28" s="42" t="str">
        <f>+'Und1'!B28</f>
        <v xml:space="preserve">Plurilicenze alimentari e/o miste </v>
      </c>
      <c r="C28" s="87">
        <v>1.54</v>
      </c>
      <c r="D28" s="87">
        <v>2.61</v>
      </c>
      <c r="E28" s="43">
        <v>0.5</v>
      </c>
      <c r="F28" s="46">
        <f t="shared" si="0"/>
        <v>2.0750000000000002</v>
      </c>
      <c r="G28" s="58">
        <f>+'Und1'!G28</f>
        <v>150</v>
      </c>
      <c r="H28" s="47">
        <f t="shared" si="1"/>
        <v>311.25</v>
      </c>
      <c r="I28" s="80">
        <f t="shared" si="2"/>
        <v>2.1153543214760564</v>
      </c>
      <c r="J28" s="50"/>
      <c r="K28" s="50">
        <f t="shared" si="3"/>
        <v>317.30314822140843</v>
      </c>
    </row>
    <row r="29" spans="1:11" x14ac:dyDescent="0.3">
      <c r="A29" s="39">
        <v>20</v>
      </c>
      <c r="B29" s="42" t="str">
        <f>+'Und1'!B29</f>
        <v>Ortofrutta, pescherie, fiori e piante</v>
      </c>
      <c r="C29" s="87">
        <v>6.06</v>
      </c>
      <c r="D29" s="87">
        <v>10.44</v>
      </c>
      <c r="E29" s="43">
        <v>0</v>
      </c>
      <c r="F29" s="46">
        <f t="shared" si="0"/>
        <v>6.06</v>
      </c>
      <c r="G29" s="58">
        <f>+'Und1'!G29</f>
        <v>0</v>
      </c>
      <c r="H29" s="47">
        <f t="shared" si="1"/>
        <v>0</v>
      </c>
      <c r="I29" s="80">
        <f t="shared" si="2"/>
        <v>6.177854066575855</v>
      </c>
      <c r="J29" s="50"/>
      <c r="K29" s="50">
        <f t="shared" si="3"/>
        <v>0</v>
      </c>
    </row>
    <row r="30" spans="1:11" ht="15" customHeight="1" x14ac:dyDescent="0.3">
      <c r="A30" s="39">
        <v>21</v>
      </c>
      <c r="B30" s="42" t="str">
        <f>+'Und1'!B30</f>
        <v>Discoteche, night-club</v>
      </c>
      <c r="C30" s="87">
        <v>1.04</v>
      </c>
      <c r="D30" s="87">
        <v>1.64</v>
      </c>
      <c r="E30" s="43">
        <v>0.5</v>
      </c>
      <c r="F30" s="84">
        <f t="shared" si="0"/>
        <v>1.3399999999999999</v>
      </c>
      <c r="G30" s="58">
        <f>+'Und1'!G30</f>
        <v>0</v>
      </c>
      <c r="H30" s="85">
        <f t="shared" si="1"/>
        <v>0</v>
      </c>
      <c r="I30" s="80">
        <f t="shared" si="2"/>
        <v>1.366060140133935</v>
      </c>
      <c r="J30" s="50"/>
      <c r="K30" s="85">
        <f t="shared" si="3"/>
        <v>0</v>
      </c>
    </row>
    <row r="31" spans="1:11" x14ac:dyDescent="0.3">
      <c r="G31" s="189">
        <f>SUM(G10:G30)</f>
        <v>29613.5</v>
      </c>
      <c r="H31" s="190">
        <f>SUM(H10:H30)</f>
        <v>29423.279999999995</v>
      </c>
      <c r="I31" s="183"/>
      <c r="J31" s="183"/>
      <c r="K31" s="188">
        <f>SUM(K10:K30)</f>
        <v>29995.500000000007</v>
      </c>
    </row>
    <row r="32" spans="1:11" x14ac:dyDescent="0.3">
      <c r="K32" s="56"/>
    </row>
    <row r="33" spans="8:8" x14ac:dyDescent="0.3">
      <c r="H33" s="52"/>
    </row>
    <row r="34" spans="8:8" x14ac:dyDescent="0.3">
      <c r="H34" s="52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3"/>
  <sheetViews>
    <sheetView topLeftCell="A7" workbookViewId="0">
      <selection activeCell="E10" sqref="E10"/>
    </sheetView>
  </sheetViews>
  <sheetFormatPr defaultRowHeight="14.4" x14ac:dyDescent="0.3"/>
  <cols>
    <col min="1" max="1" width="4" customWidth="1"/>
    <col min="2" max="2" width="72.44140625" customWidth="1"/>
    <col min="3" max="3" width="12" bestFit="1" customWidth="1"/>
    <col min="9" max="9" width="10.5546875" bestFit="1" customWidth="1"/>
    <col min="10" max="10" width="2.88671875" customWidth="1"/>
    <col min="11" max="11" width="13.6640625" customWidth="1"/>
  </cols>
  <sheetData>
    <row r="1" spans="1:11" ht="25.8" x14ac:dyDescent="0.5">
      <c r="A1" s="4" t="s">
        <v>107</v>
      </c>
    </row>
    <row r="3" spans="1:11" ht="21" x14ac:dyDescent="0.4">
      <c r="A3" s="285" t="s">
        <v>92</v>
      </c>
      <c r="B3" s="286"/>
      <c r="C3" s="286"/>
      <c r="D3" s="286"/>
    </row>
    <row r="4" spans="1:11" x14ac:dyDescent="0.3">
      <c r="B4" s="31" t="s">
        <v>57</v>
      </c>
      <c r="C4" s="1">
        <f>+Dati!G18</f>
        <v>48316.25</v>
      </c>
    </row>
    <row r="5" spans="1:11" x14ac:dyDescent="0.3">
      <c r="B5" s="31" t="s">
        <v>1</v>
      </c>
      <c r="C5" s="53">
        <f>+H31</f>
        <v>241490.93</v>
      </c>
    </row>
    <row r="6" spans="1:11" x14ac:dyDescent="0.3">
      <c r="B6" s="31" t="s">
        <v>56</v>
      </c>
      <c r="C6" s="55">
        <f>+C4/C5</f>
        <v>0.20007480198117586</v>
      </c>
    </row>
    <row r="7" spans="1:11" x14ac:dyDescent="0.3">
      <c r="B7" s="31" t="s">
        <v>74</v>
      </c>
      <c r="C7" s="74">
        <f>+'Und1'!D8</f>
        <v>0</v>
      </c>
    </row>
    <row r="8" spans="1:11" ht="15" thickBot="1" x14ac:dyDescent="0.35">
      <c r="B8" s="28"/>
      <c r="E8" s="9"/>
      <c r="G8" s="9"/>
      <c r="H8" s="9"/>
      <c r="I8" s="14"/>
      <c r="J8" s="14"/>
    </row>
    <row r="9" spans="1:11" ht="15" thickBot="1" x14ac:dyDescent="0.35">
      <c r="A9" s="51"/>
      <c r="B9" s="172" t="s">
        <v>30</v>
      </c>
      <c r="C9" s="173" t="s">
        <v>95</v>
      </c>
      <c r="D9" s="174" t="s">
        <v>94</v>
      </c>
      <c r="E9" s="175" t="s">
        <v>22</v>
      </c>
      <c r="F9" s="172" t="s">
        <v>55</v>
      </c>
      <c r="G9" s="176" t="s">
        <v>32</v>
      </c>
      <c r="H9" s="172" t="s">
        <v>75</v>
      </c>
      <c r="I9" s="172" t="s">
        <v>29</v>
      </c>
      <c r="J9" s="172"/>
      <c r="K9" s="174" t="s">
        <v>14</v>
      </c>
    </row>
    <row r="10" spans="1:11" x14ac:dyDescent="0.3">
      <c r="A10" s="169">
        <v>1</v>
      </c>
      <c r="B10" s="177" t="str">
        <f>+'Und1'!B10</f>
        <v>Musei, biblioteche, scuole, associazioni, luoghi di culto</v>
      </c>
      <c r="C10" s="178">
        <v>2.6</v>
      </c>
      <c r="D10" s="178">
        <v>4.2</v>
      </c>
      <c r="E10" s="179">
        <f>+TFnd!E10</f>
        <v>0.5</v>
      </c>
      <c r="F10" s="180">
        <f>+C10+E10*(D10-C10)</f>
        <v>3.4000000000000004</v>
      </c>
      <c r="G10" s="181">
        <f>+'Und1'!G10</f>
        <v>364</v>
      </c>
      <c r="H10" s="182">
        <f>+F10*G10</f>
        <v>1237.6000000000001</v>
      </c>
      <c r="I10" s="180">
        <f>+$C$6*F10</f>
        <v>0.68025432673599795</v>
      </c>
      <c r="J10" s="180"/>
      <c r="K10" s="183">
        <f>+G10*I10</f>
        <v>247.61257493190325</v>
      </c>
    </row>
    <row r="11" spans="1:11" x14ac:dyDescent="0.3">
      <c r="A11" s="170">
        <v>2</v>
      </c>
      <c r="B11" s="177" t="str">
        <f>+'Und1'!B11</f>
        <v>Campeggi, distributori carburanti, impianti sportivi</v>
      </c>
      <c r="C11" s="178">
        <v>5.51</v>
      </c>
      <c r="D11" s="178">
        <v>6.55</v>
      </c>
      <c r="E11" s="179">
        <f>+TFnd!E11</f>
        <v>0.5</v>
      </c>
      <c r="F11" s="180">
        <f t="shared" ref="F11:F30" si="0">+C11+E11*(D11-C11)</f>
        <v>6.0299999999999994</v>
      </c>
      <c r="G11" s="181">
        <f>+'Und1'!G11</f>
        <v>100</v>
      </c>
      <c r="H11" s="182">
        <f t="shared" ref="H11:H30" si="1">+F11*G11</f>
        <v>602.99999999999989</v>
      </c>
      <c r="I11" s="180">
        <f t="shared" ref="I11:I30" si="2">+$C$6*F11</f>
        <v>1.2064510559464903</v>
      </c>
      <c r="J11" s="180"/>
      <c r="K11" s="183">
        <f t="shared" ref="K11:K30" si="3">+G11*I11</f>
        <v>120.64510559464902</v>
      </c>
    </row>
    <row r="12" spans="1:11" x14ac:dyDescent="0.3">
      <c r="A12" s="169">
        <v>3</v>
      </c>
      <c r="B12" s="177" t="str">
        <f>+'Und1'!B12</f>
        <v>Stabilimenti balneari</v>
      </c>
      <c r="C12" s="178">
        <v>3.11</v>
      </c>
      <c r="D12" s="178">
        <v>5.2</v>
      </c>
      <c r="E12" s="179">
        <f>+TFnd!E12</f>
        <v>1</v>
      </c>
      <c r="F12" s="180">
        <f t="shared" si="0"/>
        <v>5.2</v>
      </c>
      <c r="G12" s="181">
        <f>+'Und1'!G12</f>
        <v>0</v>
      </c>
      <c r="H12" s="182">
        <f t="shared" si="1"/>
        <v>0</v>
      </c>
      <c r="I12" s="180">
        <f t="shared" si="2"/>
        <v>1.0403889703021145</v>
      </c>
      <c r="J12" s="180"/>
      <c r="K12" s="183">
        <f t="shared" si="3"/>
        <v>0</v>
      </c>
    </row>
    <row r="13" spans="1:11" x14ac:dyDescent="0.3">
      <c r="A13" s="170">
        <v>4</v>
      </c>
      <c r="B13" s="177" t="str">
        <f>+'Und1'!B13</f>
        <v>Esposizioni, autosaloni</v>
      </c>
      <c r="C13" s="178">
        <v>2.5</v>
      </c>
      <c r="D13" s="178">
        <v>3.55</v>
      </c>
      <c r="E13" s="179">
        <f>+TFnd!E13</f>
        <v>1</v>
      </c>
      <c r="F13" s="180">
        <f t="shared" si="0"/>
        <v>3.55</v>
      </c>
      <c r="G13" s="181">
        <f>+'Und1'!G13</f>
        <v>810</v>
      </c>
      <c r="H13" s="182">
        <f t="shared" si="1"/>
        <v>2875.5</v>
      </c>
      <c r="I13" s="180">
        <f t="shared" si="2"/>
        <v>0.71026554703317424</v>
      </c>
      <c r="J13" s="180"/>
      <c r="K13" s="183">
        <f t="shared" si="3"/>
        <v>575.31509309687112</v>
      </c>
    </row>
    <row r="14" spans="1:11" x14ac:dyDescent="0.3">
      <c r="A14" s="169">
        <v>5</v>
      </c>
      <c r="B14" s="177" t="str">
        <f>+'Und1'!B14</f>
        <v>Alberghi con ristorante</v>
      </c>
      <c r="C14" s="178">
        <v>8.7899999999999991</v>
      </c>
      <c r="D14" s="178">
        <v>10.93</v>
      </c>
      <c r="E14" s="179">
        <f>+TFnd!E14</f>
        <v>1</v>
      </c>
      <c r="F14" s="180">
        <f t="shared" si="0"/>
        <v>10.93</v>
      </c>
      <c r="G14" s="181">
        <f>+'Und1'!G14</f>
        <v>0</v>
      </c>
      <c r="H14" s="182">
        <f t="shared" si="1"/>
        <v>0</v>
      </c>
      <c r="I14" s="180">
        <f t="shared" si="2"/>
        <v>2.1868175856542522</v>
      </c>
      <c r="J14" s="180"/>
      <c r="K14" s="183">
        <f t="shared" si="3"/>
        <v>0</v>
      </c>
    </row>
    <row r="15" spans="1:11" x14ac:dyDescent="0.3">
      <c r="A15" s="170">
        <v>6</v>
      </c>
      <c r="B15" s="177" t="str">
        <f>+'Und1'!B15</f>
        <v>Alberghi senza ristorante</v>
      </c>
      <c r="C15" s="178">
        <v>6.55</v>
      </c>
      <c r="D15" s="178">
        <v>7.49</v>
      </c>
      <c r="E15" s="179">
        <f>+TFnd!E15</f>
        <v>0.5</v>
      </c>
      <c r="F15" s="180">
        <f t="shared" si="0"/>
        <v>7.02</v>
      </c>
      <c r="G15" s="181">
        <f>+'Und1'!G15</f>
        <v>0</v>
      </c>
      <c r="H15" s="182">
        <f t="shared" si="1"/>
        <v>0</v>
      </c>
      <c r="I15" s="180">
        <f t="shared" si="2"/>
        <v>1.4045251099078544</v>
      </c>
      <c r="J15" s="180"/>
      <c r="K15" s="183">
        <f t="shared" si="3"/>
        <v>0</v>
      </c>
    </row>
    <row r="16" spans="1:11" x14ac:dyDescent="0.3">
      <c r="A16" s="169">
        <v>7</v>
      </c>
      <c r="B16" s="177" t="str">
        <f>+'Und1'!B16</f>
        <v>Case di cura e riposo</v>
      </c>
      <c r="C16" s="178">
        <v>7.82</v>
      </c>
      <c r="D16" s="178">
        <v>8.19</v>
      </c>
      <c r="E16" s="179">
        <f>+TFnd!E16</f>
        <v>1</v>
      </c>
      <c r="F16" s="180">
        <v>8.19</v>
      </c>
      <c r="G16" s="181">
        <f>+'Und1'!G16</f>
        <v>14600</v>
      </c>
      <c r="H16" s="182">
        <f t="shared" si="1"/>
        <v>119574</v>
      </c>
      <c r="I16" s="180">
        <f t="shared" si="2"/>
        <v>1.6386126282258302</v>
      </c>
      <c r="J16" s="180"/>
      <c r="K16" s="183">
        <f t="shared" si="3"/>
        <v>23923.744372097121</v>
      </c>
    </row>
    <row r="17" spans="1:11" x14ac:dyDescent="0.3">
      <c r="A17" s="169">
        <v>8</v>
      </c>
      <c r="B17" s="177" t="str">
        <f>+'Und1'!B17</f>
        <v>Uffici, agenzie, studi professionali</v>
      </c>
      <c r="C17" s="178">
        <v>8.2100000000000009</v>
      </c>
      <c r="D17" s="178">
        <v>9.3000000000000007</v>
      </c>
      <c r="E17" s="179">
        <f>+TFnd!E17</f>
        <v>1</v>
      </c>
      <c r="F17" s="180">
        <f t="shared" si="0"/>
        <v>9.3000000000000007</v>
      </c>
      <c r="G17" s="181">
        <f>+'Und1'!G17</f>
        <v>0</v>
      </c>
      <c r="H17" s="182">
        <f t="shared" si="1"/>
        <v>0</v>
      </c>
      <c r="I17" s="180">
        <f t="shared" si="2"/>
        <v>1.8606956584249357</v>
      </c>
      <c r="J17" s="180"/>
      <c r="K17" s="183">
        <f t="shared" si="3"/>
        <v>0</v>
      </c>
    </row>
    <row r="18" spans="1:11" x14ac:dyDescent="0.3">
      <c r="A18" s="170">
        <v>9</v>
      </c>
      <c r="B18" s="177" t="str">
        <f>+'Und1'!B18</f>
        <v>Banche ed istituti di credito</v>
      </c>
      <c r="C18" s="178">
        <v>4.5</v>
      </c>
      <c r="D18" s="178">
        <v>4.78</v>
      </c>
      <c r="E18" s="179">
        <f>+TFnd!E18</f>
        <v>1</v>
      </c>
      <c r="F18" s="180">
        <f t="shared" si="0"/>
        <v>4.78</v>
      </c>
      <c r="G18" s="181">
        <f>+'Und1'!G18</f>
        <v>1472</v>
      </c>
      <c r="H18" s="182">
        <f t="shared" si="1"/>
        <v>7036.1600000000008</v>
      </c>
      <c r="I18" s="180">
        <f t="shared" si="2"/>
        <v>0.9563575534700206</v>
      </c>
      <c r="J18" s="180"/>
      <c r="K18" s="183">
        <f t="shared" si="3"/>
        <v>1407.7583187078703</v>
      </c>
    </row>
    <row r="19" spans="1:11" ht="15.75" customHeight="1" x14ac:dyDescent="0.3">
      <c r="A19" s="169">
        <v>10</v>
      </c>
      <c r="B19" s="177" t="str">
        <f>+'Und1'!B19</f>
        <v>Negozi abbigliamento, calzature, libreria, cartoleria, ferramenta, e altri beni durevoli</v>
      </c>
      <c r="C19" s="178">
        <v>7.11</v>
      </c>
      <c r="D19" s="178">
        <v>9.1199999999999992</v>
      </c>
      <c r="E19" s="179">
        <f>+TFnd!E19</f>
        <v>1</v>
      </c>
      <c r="F19" s="180">
        <f t="shared" si="0"/>
        <v>9.1199999999999992</v>
      </c>
      <c r="G19" s="181">
        <f>+'Und1'!G19</f>
        <v>577</v>
      </c>
      <c r="H19" s="182">
        <f t="shared" si="1"/>
        <v>5262.24</v>
      </c>
      <c r="I19" s="180">
        <f t="shared" si="2"/>
        <v>1.8246821940683238</v>
      </c>
      <c r="J19" s="180"/>
      <c r="K19" s="183">
        <f t="shared" si="3"/>
        <v>1052.8416259774228</v>
      </c>
    </row>
    <row r="20" spans="1:11" x14ac:dyDescent="0.3">
      <c r="A20" s="170">
        <v>11</v>
      </c>
      <c r="B20" s="177" t="str">
        <f>+'Und1'!B20</f>
        <v>Edicola, farmacia, tabaccaio, plurilicenze</v>
      </c>
      <c r="C20" s="178">
        <v>8.8000000000000007</v>
      </c>
      <c r="D20" s="178">
        <v>12.45</v>
      </c>
      <c r="E20" s="179">
        <f>+TFnd!E20</f>
        <v>1</v>
      </c>
      <c r="F20" s="180">
        <f t="shared" si="0"/>
        <v>12.45</v>
      </c>
      <c r="G20" s="181">
        <f>+'Und1'!G20</f>
        <v>91</v>
      </c>
      <c r="H20" s="182">
        <f t="shared" si="1"/>
        <v>1132.95</v>
      </c>
      <c r="I20" s="180">
        <f t="shared" si="2"/>
        <v>2.4909312846656393</v>
      </c>
      <c r="J20" s="180"/>
      <c r="K20" s="183">
        <f t="shared" si="3"/>
        <v>226.67474690457317</v>
      </c>
    </row>
    <row r="21" spans="1:11" x14ac:dyDescent="0.3">
      <c r="A21" s="169">
        <v>12</v>
      </c>
      <c r="B21" s="177" t="str">
        <f>+'Und1'!B21</f>
        <v>Attività artigianali tipo botteghe: falegname, idraulico, fabbro, elettricista, parrucc.</v>
      </c>
      <c r="C21" s="178">
        <v>5.9</v>
      </c>
      <c r="D21" s="178">
        <v>8.5</v>
      </c>
      <c r="E21" s="179">
        <f>+TFnd!E21</f>
        <v>1</v>
      </c>
      <c r="F21" s="180">
        <f t="shared" si="0"/>
        <v>8.5</v>
      </c>
      <c r="G21" s="181">
        <f>+'Und1'!G21</f>
        <v>5865.5</v>
      </c>
      <c r="H21" s="182">
        <f t="shared" si="1"/>
        <v>49856.75</v>
      </c>
      <c r="I21" s="180">
        <f t="shared" si="2"/>
        <v>1.7006358168399949</v>
      </c>
      <c r="J21" s="180"/>
      <c r="K21" s="183">
        <f t="shared" si="3"/>
        <v>9975.0793836749908</v>
      </c>
    </row>
    <row r="22" spans="1:11" x14ac:dyDescent="0.3">
      <c r="A22" s="170">
        <v>13</v>
      </c>
      <c r="B22" s="177" t="str">
        <f>+'Und1'!B22</f>
        <v>Carrozzeria, autofficina, elettrauto</v>
      </c>
      <c r="C22" s="178">
        <v>7.55</v>
      </c>
      <c r="D22" s="178">
        <v>9.48</v>
      </c>
      <c r="E22" s="179">
        <f>+TFnd!E22</f>
        <v>1</v>
      </c>
      <c r="F22" s="180">
        <f t="shared" si="0"/>
        <v>9.48</v>
      </c>
      <c r="G22" s="181">
        <f>+'Und1'!G22</f>
        <v>285</v>
      </c>
      <c r="H22" s="182">
        <f t="shared" si="1"/>
        <v>2701.8</v>
      </c>
      <c r="I22" s="180">
        <f t="shared" si="2"/>
        <v>1.8967091227815471</v>
      </c>
      <c r="J22" s="180"/>
      <c r="K22" s="183">
        <f t="shared" si="3"/>
        <v>540.56209999274097</v>
      </c>
    </row>
    <row r="23" spans="1:11" x14ac:dyDescent="0.3">
      <c r="A23" s="169">
        <v>14</v>
      </c>
      <c r="B23" s="177" t="str">
        <f>+'Und1'!B23</f>
        <v>Attività industriali con capannoni di produzione</v>
      </c>
      <c r="C23" s="178">
        <v>3.5</v>
      </c>
      <c r="D23" s="178">
        <v>7.5</v>
      </c>
      <c r="E23" s="179">
        <f>+TFnd!E23</f>
        <v>1</v>
      </c>
      <c r="F23" s="180">
        <f t="shared" si="0"/>
        <v>7.5</v>
      </c>
      <c r="G23" s="181">
        <f>+'Und1'!G23</f>
        <v>4326</v>
      </c>
      <c r="H23" s="182">
        <f t="shared" si="1"/>
        <v>32445</v>
      </c>
      <c r="I23" s="180">
        <f t="shared" si="2"/>
        <v>1.5005610148588189</v>
      </c>
      <c r="J23" s="180"/>
      <c r="K23" s="183">
        <f t="shared" si="3"/>
        <v>6491.4269502792504</v>
      </c>
    </row>
    <row r="24" spans="1:11" x14ac:dyDescent="0.3">
      <c r="A24" s="170">
        <v>15</v>
      </c>
      <c r="B24" s="177" t="str">
        <f>+'Und1'!B24</f>
        <v>Attività artigianali di produzione beni specifici</v>
      </c>
      <c r="C24" s="178">
        <v>4.5</v>
      </c>
      <c r="D24" s="178">
        <v>8.92</v>
      </c>
      <c r="E24" s="179">
        <f>+TFnd!E24</f>
        <v>1</v>
      </c>
      <c r="F24" s="180">
        <f t="shared" si="0"/>
        <v>8.92</v>
      </c>
      <c r="G24" s="181">
        <f>+'Und1'!G24</f>
        <v>549</v>
      </c>
      <c r="H24" s="182">
        <f t="shared" si="1"/>
        <v>4897.08</v>
      </c>
      <c r="I24" s="180">
        <f t="shared" si="2"/>
        <v>1.7846672336720886</v>
      </c>
      <c r="J24" s="180"/>
      <c r="K24" s="183">
        <f t="shared" si="3"/>
        <v>979.78231128597668</v>
      </c>
    </row>
    <row r="25" spans="1:11" x14ac:dyDescent="0.3">
      <c r="A25" s="170">
        <v>16</v>
      </c>
      <c r="B25" s="177" t="str">
        <f>+'Und1'!B25</f>
        <v>Ristoranti, trattorie, osterie, pizzerie, mense, pub, birrerie</v>
      </c>
      <c r="C25" s="178">
        <v>39.67</v>
      </c>
      <c r="D25" s="178">
        <v>60.88</v>
      </c>
      <c r="E25" s="179">
        <f>+TFnd!E25</f>
        <v>0</v>
      </c>
      <c r="F25" s="180">
        <f t="shared" si="0"/>
        <v>39.67</v>
      </c>
      <c r="G25" s="181">
        <f>+'Und1'!G25</f>
        <v>0</v>
      </c>
      <c r="H25" s="182">
        <f t="shared" ref="H25" si="4">+F25*G25</f>
        <v>0</v>
      </c>
      <c r="I25" s="185">
        <f t="shared" si="2"/>
        <v>7.9369673945932471</v>
      </c>
      <c r="J25" s="180"/>
      <c r="K25" s="183">
        <f t="shared" ref="K25" si="5">+G25*I25</f>
        <v>0</v>
      </c>
    </row>
    <row r="26" spans="1:11" ht="14.25" customHeight="1" x14ac:dyDescent="0.3">
      <c r="A26" s="170">
        <v>17</v>
      </c>
      <c r="B26" s="177" t="str">
        <f>+'Und1'!B26</f>
        <v>Bar, caffè, pasticceria</v>
      </c>
      <c r="C26" s="178">
        <v>29.82</v>
      </c>
      <c r="D26" s="178">
        <v>51.47</v>
      </c>
      <c r="E26" s="179">
        <f>+TFnd!E26</f>
        <v>0</v>
      </c>
      <c r="F26" s="184">
        <f t="shared" si="0"/>
        <v>29.82</v>
      </c>
      <c r="G26" s="181">
        <f>+'Und1'!G26</f>
        <v>295</v>
      </c>
      <c r="H26" s="182">
        <f t="shared" si="1"/>
        <v>8796.9</v>
      </c>
      <c r="I26" s="180">
        <f t="shared" si="2"/>
        <v>5.966230595078664</v>
      </c>
      <c r="J26" s="180"/>
      <c r="K26" s="183">
        <f t="shared" si="3"/>
        <v>1760.038025548206</v>
      </c>
    </row>
    <row r="27" spans="1:11" x14ac:dyDescent="0.3">
      <c r="A27" s="170">
        <v>18</v>
      </c>
      <c r="B27" s="177" t="str">
        <f>+'Und1'!B27</f>
        <v>Supermercato, pane e pasta, macelleria, salumi e formaggi, generi alimentari</v>
      </c>
      <c r="C27" s="178">
        <v>14.43</v>
      </c>
      <c r="D27" s="178">
        <v>19.55</v>
      </c>
      <c r="E27" s="179">
        <v>1</v>
      </c>
      <c r="F27" s="180">
        <f t="shared" si="0"/>
        <v>19.55</v>
      </c>
      <c r="G27" s="181">
        <f>+'Und1'!G27</f>
        <v>129</v>
      </c>
      <c r="H27" s="182">
        <f t="shared" si="1"/>
        <v>2521.9500000000003</v>
      </c>
      <c r="I27" s="180">
        <f t="shared" si="2"/>
        <v>3.9114623787319882</v>
      </c>
      <c r="J27" s="180"/>
      <c r="K27" s="183">
        <f t="shared" si="3"/>
        <v>504.57864685642647</v>
      </c>
    </row>
    <row r="28" spans="1:11" x14ac:dyDescent="0.3">
      <c r="A28" s="169">
        <v>19</v>
      </c>
      <c r="B28" s="177" t="str">
        <f>+'Und1'!B28</f>
        <v xml:space="preserve">Plurilicenze alimentari e/o miste </v>
      </c>
      <c r="C28" s="178">
        <v>12.59</v>
      </c>
      <c r="D28" s="178">
        <v>21.41</v>
      </c>
      <c r="E28" s="179">
        <f>+TFnd!E28</f>
        <v>0.5</v>
      </c>
      <c r="F28" s="180">
        <f t="shared" si="0"/>
        <v>17</v>
      </c>
      <c r="G28" s="181">
        <f>+'Und1'!G28</f>
        <v>150</v>
      </c>
      <c r="H28" s="182">
        <f t="shared" si="1"/>
        <v>2550</v>
      </c>
      <c r="I28" s="180">
        <f t="shared" si="2"/>
        <v>3.4012716336799897</v>
      </c>
      <c r="J28" s="180"/>
      <c r="K28" s="183">
        <f t="shared" si="3"/>
        <v>510.19074505199848</v>
      </c>
    </row>
    <row r="29" spans="1:11" x14ac:dyDescent="0.3">
      <c r="A29" s="169">
        <v>20</v>
      </c>
      <c r="B29" s="177" t="str">
        <f>+'Und1'!B29</f>
        <v>Ortofrutta, pescherie, fiori e piante</v>
      </c>
      <c r="C29" s="178">
        <v>49.72</v>
      </c>
      <c r="D29" s="178">
        <v>85.6</v>
      </c>
      <c r="E29" s="179">
        <f>+TFnd!E29</f>
        <v>0</v>
      </c>
      <c r="F29" s="180">
        <f t="shared" ref="F29" si="6">+C29+E29*(D29-C29)</f>
        <v>49.72</v>
      </c>
      <c r="G29" s="181">
        <f>+'Und1'!G29</f>
        <v>0</v>
      </c>
      <c r="H29" s="182">
        <f t="shared" ref="H29" si="7">+F29*G29</f>
        <v>0</v>
      </c>
      <c r="I29" s="185">
        <f t="shared" si="2"/>
        <v>9.947719154504064</v>
      </c>
      <c r="J29" s="180"/>
      <c r="K29" s="183">
        <f t="shared" ref="K29" si="8">+G29*I29</f>
        <v>0</v>
      </c>
    </row>
    <row r="30" spans="1:11" x14ac:dyDescent="0.3">
      <c r="A30" s="171">
        <v>21</v>
      </c>
      <c r="B30" s="177" t="str">
        <f>+'Und1'!B30</f>
        <v>Discoteche, night-club</v>
      </c>
      <c r="C30" s="178">
        <v>8.56</v>
      </c>
      <c r="D30" s="178">
        <v>13.45</v>
      </c>
      <c r="E30" s="179">
        <f>+TFnd!E30</f>
        <v>0.5</v>
      </c>
      <c r="F30" s="180">
        <f t="shared" si="0"/>
        <v>11.004999999999999</v>
      </c>
      <c r="G30" s="181">
        <f>+'Und1'!G30</f>
        <v>0</v>
      </c>
      <c r="H30" s="182">
        <f t="shared" si="1"/>
        <v>0</v>
      </c>
      <c r="I30" s="180">
        <f t="shared" si="2"/>
        <v>2.2018231958028402</v>
      </c>
      <c r="J30" s="186"/>
      <c r="K30" s="183">
        <f t="shared" si="3"/>
        <v>0</v>
      </c>
    </row>
    <row r="31" spans="1:11" x14ac:dyDescent="0.3">
      <c r="B31" s="48"/>
      <c r="H31" s="187">
        <f>SUM(H10:H30)</f>
        <v>241490.93</v>
      </c>
      <c r="K31" s="188">
        <f>SUM(K10:K30)</f>
        <v>48316.250000000007</v>
      </c>
    </row>
    <row r="32" spans="1:11" x14ac:dyDescent="0.3">
      <c r="K32" s="56"/>
    </row>
    <row r="33" spans="8:8" x14ac:dyDescent="0.3">
      <c r="H33" s="52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2"/>
  <sheetViews>
    <sheetView topLeftCell="C7" workbookViewId="0">
      <selection activeCell="M9" sqref="M9"/>
    </sheetView>
  </sheetViews>
  <sheetFormatPr defaultRowHeight="14.4" x14ac:dyDescent="0.3"/>
  <cols>
    <col min="1" max="1" width="7.44140625" customWidth="1"/>
    <col min="4" max="4" width="10.109375" customWidth="1"/>
    <col min="6" max="6" width="39.44140625" customWidth="1"/>
    <col min="10" max="10" width="12.6640625" bestFit="1" customWidth="1"/>
    <col min="11" max="11" width="13.6640625" customWidth="1"/>
    <col min="12" max="12" width="2.5546875" customWidth="1"/>
    <col min="13" max="13" width="9.5546875" bestFit="1" customWidth="1"/>
    <col min="15" max="15" width="15.6640625" bestFit="1" customWidth="1"/>
  </cols>
  <sheetData>
    <row r="1" spans="1:16" ht="25.8" x14ac:dyDescent="0.5">
      <c r="A1" s="4" t="s">
        <v>103</v>
      </c>
    </row>
    <row r="3" spans="1:16" ht="21" x14ac:dyDescent="0.4">
      <c r="A3" s="285" t="s">
        <v>92</v>
      </c>
      <c r="B3" s="286"/>
      <c r="C3" s="286"/>
      <c r="D3" s="286"/>
    </row>
    <row r="7" spans="1:16" ht="18.600000000000001" thickBot="1" x14ac:dyDescent="0.4">
      <c r="A7" s="75"/>
      <c r="B7" s="2"/>
      <c r="C7" s="2"/>
      <c r="D7" s="102"/>
      <c r="E7" s="2"/>
      <c r="F7" s="2"/>
      <c r="G7" s="9"/>
      <c r="H7" s="9"/>
      <c r="I7" s="2"/>
    </row>
    <row r="8" spans="1:16" ht="16.2" thickBot="1" x14ac:dyDescent="0.35">
      <c r="A8" s="119" t="s">
        <v>62</v>
      </c>
      <c r="B8" s="306"/>
      <c r="C8" s="310"/>
      <c r="D8" s="310"/>
      <c r="E8" s="310"/>
      <c r="F8" s="311"/>
      <c r="G8" s="109" t="s">
        <v>32</v>
      </c>
      <c r="H8" s="110" t="s">
        <v>22</v>
      </c>
      <c r="I8" s="111" t="s">
        <v>24</v>
      </c>
      <c r="J8" s="111" t="s">
        <v>101</v>
      </c>
      <c r="K8" s="116" t="s">
        <v>102</v>
      </c>
      <c r="M8" s="243">
        <v>2025</v>
      </c>
      <c r="N8" s="243" t="s">
        <v>110</v>
      </c>
      <c r="O8" s="243" t="s">
        <v>123</v>
      </c>
    </row>
    <row r="9" spans="1:16" ht="15.6" x14ac:dyDescent="0.3">
      <c r="A9" s="117">
        <v>1</v>
      </c>
      <c r="B9" s="312" t="s">
        <v>35</v>
      </c>
      <c r="C9" s="313"/>
      <c r="D9" s="313"/>
      <c r="E9" s="313"/>
      <c r="F9" s="314"/>
      <c r="G9" s="112">
        <f>+'Und1'!G10</f>
        <v>364</v>
      </c>
      <c r="H9" s="113">
        <f>+TVnd!E10</f>
        <v>0.5</v>
      </c>
      <c r="I9" s="114">
        <f>'Und1'!I10</f>
        <v>2</v>
      </c>
      <c r="J9" s="158">
        <f>+'Und1'!J10+'Und1'!K10</f>
        <v>1.1033251910312092</v>
      </c>
      <c r="K9" s="240">
        <f>+G9*J9</f>
        <v>401.61036953536012</v>
      </c>
      <c r="L9" s="141"/>
      <c r="M9" s="244">
        <f>'Und1'!N10+'Und1'!O10</f>
        <v>1.0589999999999999</v>
      </c>
      <c r="N9" s="245">
        <f t="shared" ref="N9:N29" si="0">+J9-M9</f>
        <v>4.4325191031209243E-2</v>
      </c>
      <c r="O9" s="246">
        <f>+G9*M9</f>
        <v>385.476</v>
      </c>
      <c r="P9" s="141"/>
    </row>
    <row r="10" spans="1:16" ht="15.6" x14ac:dyDescent="0.3">
      <c r="A10" s="117">
        <v>2</v>
      </c>
      <c r="B10" s="301" t="s">
        <v>48</v>
      </c>
      <c r="C10" s="297"/>
      <c r="D10" s="297"/>
      <c r="E10" s="297"/>
      <c r="F10" s="298"/>
      <c r="G10" s="112">
        <f>+'Und1'!G11</f>
        <v>100</v>
      </c>
      <c r="H10" s="113">
        <f>+TVnd!E11</f>
        <v>0.5</v>
      </c>
      <c r="I10" s="115">
        <f>'Und1'!I11</f>
        <v>1</v>
      </c>
      <c r="J10" s="158">
        <f>+'Und1'!J11+'Und1'!K11</f>
        <v>1.9557452372886115</v>
      </c>
      <c r="K10" s="241">
        <f t="shared" ref="K10:K29" si="1">+G10*J10</f>
        <v>195.57452372886115</v>
      </c>
      <c r="M10" s="247">
        <f>'Und1'!N11+'Und1'!O11</f>
        <v>1.8780000000000001</v>
      </c>
      <c r="N10" s="248">
        <f t="shared" si="0"/>
        <v>7.774523728861138E-2</v>
      </c>
      <c r="O10" s="249">
        <f t="shared" ref="O10:O29" si="2">+G10*M10</f>
        <v>187.8</v>
      </c>
      <c r="P10" s="141"/>
    </row>
    <row r="11" spans="1:16" ht="15.6" x14ac:dyDescent="0.3">
      <c r="A11" s="117">
        <v>3</v>
      </c>
      <c r="B11" s="301" t="s">
        <v>36</v>
      </c>
      <c r="C11" s="297"/>
      <c r="D11" s="297"/>
      <c r="E11" s="297"/>
      <c r="F11" s="298"/>
      <c r="G11" s="112">
        <f>+'Und1'!G12</f>
        <v>0</v>
      </c>
      <c r="H11" s="113">
        <f>+TVnd!E12</f>
        <v>1</v>
      </c>
      <c r="I11" s="115">
        <f>'Und1'!I12</f>
        <v>0</v>
      </c>
      <c r="J11" s="159">
        <f>+'Und1'!J12+'Und1'!K12</f>
        <v>1.6826411257382183</v>
      </c>
      <c r="K11" s="242">
        <f t="shared" si="1"/>
        <v>0</v>
      </c>
      <c r="M11" s="247">
        <f>'Und1'!N12+'Und1'!O12</f>
        <v>1.6160000000000001</v>
      </c>
      <c r="N11" s="248">
        <f t="shared" si="0"/>
        <v>6.6641125738218232E-2</v>
      </c>
      <c r="O11" s="249">
        <f t="shared" si="2"/>
        <v>0</v>
      </c>
      <c r="P11" s="141"/>
    </row>
    <row r="12" spans="1:16" ht="15.6" x14ac:dyDescent="0.3">
      <c r="A12" s="117">
        <v>4</v>
      </c>
      <c r="B12" s="301" t="s">
        <v>37</v>
      </c>
      <c r="C12" s="297"/>
      <c r="D12" s="297"/>
      <c r="E12" s="297"/>
      <c r="F12" s="298"/>
      <c r="G12" s="112">
        <f>+'Und1'!G13</f>
        <v>810</v>
      </c>
      <c r="H12" s="113">
        <f>+TVnd!E13</f>
        <v>1</v>
      </c>
      <c r="I12" s="115">
        <f>'Und1'!I13</f>
        <v>1</v>
      </c>
      <c r="J12" s="159">
        <f>+'Und1'!J13+'Und1'!K13</f>
        <v>1.1486281293149594</v>
      </c>
      <c r="K12" s="242">
        <f t="shared" si="1"/>
        <v>930.38878474511705</v>
      </c>
      <c r="M12" s="247">
        <f>'Und1'!N13+'Und1'!O13</f>
        <v>1.103</v>
      </c>
      <c r="N12" s="248">
        <f t="shared" si="0"/>
        <v>4.5628129314959409E-2</v>
      </c>
      <c r="O12" s="249">
        <f t="shared" si="2"/>
        <v>893.43</v>
      </c>
      <c r="P12" s="141"/>
    </row>
    <row r="13" spans="1:16" ht="15.6" x14ac:dyDescent="0.3">
      <c r="A13" s="117">
        <v>5</v>
      </c>
      <c r="B13" s="301" t="s">
        <v>38</v>
      </c>
      <c r="C13" s="297"/>
      <c r="D13" s="297"/>
      <c r="E13" s="297"/>
      <c r="F13" s="298"/>
      <c r="G13" s="112">
        <f>+'Und1'!G14</f>
        <v>0</v>
      </c>
      <c r="H13" s="113">
        <f>+TVnd!E14</f>
        <v>1</v>
      </c>
      <c r="I13" s="115">
        <f>'Und1'!I14</f>
        <v>0</v>
      </c>
      <c r="J13" s="159">
        <f>+'Und1'!J14+'Und1'!K14</f>
        <v>3.5426832471304714</v>
      </c>
      <c r="K13" s="242">
        <f t="shared" si="1"/>
        <v>0</v>
      </c>
      <c r="M13" s="247">
        <f>'Und1'!N14+'Und1'!O14</f>
        <v>3.4020000000000001</v>
      </c>
      <c r="N13" s="248">
        <f t="shared" si="0"/>
        <v>0.14068324713047131</v>
      </c>
      <c r="O13" s="249">
        <f t="shared" si="2"/>
        <v>0</v>
      </c>
      <c r="P13" s="141"/>
    </row>
    <row r="14" spans="1:16" ht="15.6" x14ac:dyDescent="0.3">
      <c r="A14" s="117">
        <v>6</v>
      </c>
      <c r="B14" s="301" t="s">
        <v>39</v>
      </c>
      <c r="C14" s="297"/>
      <c r="D14" s="297"/>
      <c r="E14" s="297"/>
      <c r="F14" s="298"/>
      <c r="G14" s="112">
        <f>+'Und1'!G15</f>
        <v>0</v>
      </c>
      <c r="H14" s="113">
        <f>+TVnd!E15</f>
        <v>0.5</v>
      </c>
      <c r="I14" s="115">
        <f>'Und1'!I15</f>
        <v>0</v>
      </c>
      <c r="J14" s="159">
        <f>+'Und1'!J15+'Und1'!K15</f>
        <v>2.2761530351425665</v>
      </c>
      <c r="K14" s="242">
        <f t="shared" si="1"/>
        <v>0</v>
      </c>
      <c r="M14" s="247">
        <f>'Und1'!N15+'Und1'!O15</f>
        <v>2.1859999999999999</v>
      </c>
      <c r="N14" s="248">
        <f t="shared" si="0"/>
        <v>9.0153035142566562E-2</v>
      </c>
      <c r="O14" s="249">
        <f t="shared" si="2"/>
        <v>0</v>
      </c>
      <c r="P14" s="141"/>
    </row>
    <row r="15" spans="1:16" ht="15.6" x14ac:dyDescent="0.3">
      <c r="A15" s="117">
        <v>7</v>
      </c>
      <c r="B15" s="301" t="s">
        <v>40</v>
      </c>
      <c r="C15" s="297"/>
      <c r="D15" s="297"/>
      <c r="E15" s="297"/>
      <c r="F15" s="298"/>
      <c r="G15" s="112">
        <f>+'Und1'!G16</f>
        <v>14600</v>
      </c>
      <c r="H15" s="113">
        <f>+TVnd!E16</f>
        <v>1</v>
      </c>
      <c r="I15" s="115">
        <f>'Und1'!I16</f>
        <v>1</v>
      </c>
      <c r="J15" s="159">
        <f>+'Und1'!J16+'Und1'!K16</f>
        <v>2.6580604939974233</v>
      </c>
      <c r="K15" s="242">
        <f t="shared" si="1"/>
        <v>38807.683212362383</v>
      </c>
      <c r="M15" s="247">
        <f>'Und1'!N16+'Und1'!O16</f>
        <v>2.552</v>
      </c>
      <c r="N15" s="248">
        <f t="shared" si="0"/>
        <v>0.10606049399742323</v>
      </c>
      <c r="O15" s="249">
        <f t="shared" si="2"/>
        <v>37259.199999999997</v>
      </c>
      <c r="P15" s="141"/>
    </row>
    <row r="16" spans="1:16" ht="15.6" x14ac:dyDescent="0.3">
      <c r="A16" s="117">
        <v>8</v>
      </c>
      <c r="B16" s="301" t="s">
        <v>41</v>
      </c>
      <c r="C16" s="297"/>
      <c r="D16" s="297"/>
      <c r="E16" s="297"/>
      <c r="F16" s="298"/>
      <c r="G16" s="112">
        <f>+'Und1'!G17</f>
        <v>0</v>
      </c>
      <c r="H16" s="113">
        <f>+TVnd!E17</f>
        <v>1</v>
      </c>
      <c r="I16" s="115">
        <f>'Und1'!I17</f>
        <v>0</v>
      </c>
      <c r="J16" s="159">
        <f>+'Und1'!J17+'Und1'!K17</f>
        <v>3.012671746746836</v>
      </c>
      <c r="K16" s="242">
        <f t="shared" si="1"/>
        <v>0</v>
      </c>
      <c r="M16" s="247">
        <f>'Und1'!N17+'Und1'!O17</f>
        <v>2.8919999999999999</v>
      </c>
      <c r="N16" s="248">
        <f t="shared" si="0"/>
        <v>0.12067174674683612</v>
      </c>
      <c r="O16" s="249">
        <f t="shared" si="2"/>
        <v>0</v>
      </c>
      <c r="P16" s="141"/>
    </row>
    <row r="17" spans="1:16" ht="15.6" x14ac:dyDescent="0.3">
      <c r="A17" s="117">
        <v>9</v>
      </c>
      <c r="B17" s="301" t="s">
        <v>87</v>
      </c>
      <c r="C17" s="297"/>
      <c r="D17" s="297"/>
      <c r="E17" s="297"/>
      <c r="F17" s="298"/>
      <c r="G17" s="112">
        <f>+'Und1'!G18</f>
        <v>1472</v>
      </c>
      <c r="H17" s="113">
        <f>+TVnd!E18</f>
        <v>1</v>
      </c>
      <c r="I17" s="115">
        <f>'Und1'!I18</f>
        <v>19</v>
      </c>
      <c r="J17" s="159">
        <f>+'Und1'!J18+'Und1'!K18</f>
        <v>1.5476373156175447</v>
      </c>
      <c r="K17" s="242">
        <f t="shared" si="1"/>
        <v>2278.1221285890256</v>
      </c>
      <c r="M17" s="247">
        <f>'Und1'!N18+'Und1'!O18</f>
        <v>1.486</v>
      </c>
      <c r="N17" s="248">
        <f t="shared" si="0"/>
        <v>6.1637315617544708E-2</v>
      </c>
      <c r="O17" s="249">
        <f t="shared" si="2"/>
        <v>2187.3919999999998</v>
      </c>
      <c r="P17" s="141"/>
    </row>
    <row r="18" spans="1:16" ht="15.6" x14ac:dyDescent="0.3">
      <c r="A18" s="117">
        <v>10</v>
      </c>
      <c r="B18" s="301" t="s">
        <v>42</v>
      </c>
      <c r="C18" s="297"/>
      <c r="D18" s="297"/>
      <c r="E18" s="297"/>
      <c r="F18" s="298"/>
      <c r="G18" s="112">
        <f>+'Und1'!G19</f>
        <v>577</v>
      </c>
      <c r="H18" s="113">
        <f>+TVnd!E19</f>
        <v>1</v>
      </c>
      <c r="I18" s="115">
        <f>'Und1'!I19</f>
        <v>6</v>
      </c>
      <c r="J18" s="159">
        <f>+'Und1'!J19+'Und1'!K19</f>
        <v>2.9562693250747927</v>
      </c>
      <c r="K18" s="242">
        <f t="shared" si="1"/>
        <v>1705.7674005681554</v>
      </c>
      <c r="M18" s="247">
        <f>'Und1'!N19+'Und1'!O19</f>
        <v>2.8380000000000001</v>
      </c>
      <c r="N18" s="248">
        <f t="shared" si="0"/>
        <v>0.1182693250747926</v>
      </c>
      <c r="O18" s="249">
        <f t="shared" si="2"/>
        <v>1637.5260000000001</v>
      </c>
      <c r="P18" s="141"/>
    </row>
    <row r="19" spans="1:16" ht="15.6" x14ac:dyDescent="0.3">
      <c r="A19" s="117">
        <v>11</v>
      </c>
      <c r="B19" s="301" t="s">
        <v>88</v>
      </c>
      <c r="C19" s="297"/>
      <c r="D19" s="297"/>
      <c r="E19" s="297"/>
      <c r="F19" s="298"/>
      <c r="G19" s="112">
        <f>+'Und1'!G20</f>
        <v>91</v>
      </c>
      <c r="H19" s="113">
        <f>+TVnd!E20</f>
        <v>1</v>
      </c>
      <c r="I19" s="115">
        <f>'Und1'!I20</f>
        <v>1</v>
      </c>
      <c r="J19" s="159">
        <f>+'Und1'!J20+'Und1'!K20</f>
        <v>4.040492040638461</v>
      </c>
      <c r="K19" s="242">
        <f t="shared" si="1"/>
        <v>367.68477569809994</v>
      </c>
      <c r="M19" s="247">
        <f>'Und1'!N20+'Und1'!O20</f>
        <v>3.88</v>
      </c>
      <c r="N19" s="248">
        <f t="shared" si="0"/>
        <v>0.16049204063846112</v>
      </c>
      <c r="O19" s="249">
        <f t="shared" si="2"/>
        <v>353.08</v>
      </c>
      <c r="P19" s="141"/>
    </row>
    <row r="20" spans="1:16" ht="15.6" x14ac:dyDescent="0.3">
      <c r="A20" s="117">
        <v>12</v>
      </c>
      <c r="B20" s="297" t="s">
        <v>89</v>
      </c>
      <c r="C20" s="297"/>
      <c r="D20" s="297"/>
      <c r="E20" s="297"/>
      <c r="F20" s="298"/>
      <c r="G20" s="112">
        <f>+'Und1'!G21</f>
        <v>5865.5</v>
      </c>
      <c r="H20" s="113">
        <f>+TVnd!E21</f>
        <v>1</v>
      </c>
      <c r="I20" s="115">
        <f>'Und1'!I21</f>
        <v>24</v>
      </c>
      <c r="J20" s="159">
        <f>+'Und1'!J21+'Und1'!K21</f>
        <v>2.7608615972424522</v>
      </c>
      <c r="K20" s="242">
        <f t="shared" si="1"/>
        <v>16193.833698625604</v>
      </c>
      <c r="M20" s="247">
        <f>'Und1'!N21+'Und1'!O21</f>
        <v>2.6509999999999998</v>
      </c>
      <c r="N20" s="248">
        <f t="shared" si="0"/>
        <v>0.10986159724245237</v>
      </c>
      <c r="O20" s="249">
        <f t="shared" si="2"/>
        <v>15549.440499999999</v>
      </c>
      <c r="P20" s="141"/>
    </row>
    <row r="21" spans="1:16" ht="15.6" x14ac:dyDescent="0.3">
      <c r="A21" s="117">
        <v>13</v>
      </c>
      <c r="B21" s="297" t="s">
        <v>43</v>
      </c>
      <c r="C21" s="297"/>
      <c r="D21" s="297"/>
      <c r="E21" s="297"/>
      <c r="F21" s="298"/>
      <c r="G21" s="112">
        <f>+'Und1'!G22</f>
        <v>285</v>
      </c>
      <c r="H21" s="113">
        <f>+TVnd!E22</f>
        <v>1</v>
      </c>
      <c r="I21" s="115">
        <f>'Und1'!I22</f>
        <v>1</v>
      </c>
      <c r="J21" s="159">
        <f>+'Und1'!J22+'Und1'!K22</f>
        <v>3.0792686470765953</v>
      </c>
      <c r="K21" s="242">
        <f t="shared" si="1"/>
        <v>877.59156441682967</v>
      </c>
      <c r="M21" s="247">
        <f>'Und1'!N22+'Und1'!O22</f>
        <v>2.9569999999999999</v>
      </c>
      <c r="N21" s="248">
        <f t="shared" si="0"/>
        <v>0.12226864707659546</v>
      </c>
      <c r="O21" s="249">
        <f t="shared" si="2"/>
        <v>842.745</v>
      </c>
      <c r="P21" s="141"/>
    </row>
    <row r="22" spans="1:16" ht="15.6" x14ac:dyDescent="0.3">
      <c r="A22" s="117">
        <v>14</v>
      </c>
      <c r="B22" s="297" t="s">
        <v>44</v>
      </c>
      <c r="C22" s="297"/>
      <c r="D22" s="297"/>
      <c r="E22" s="297"/>
      <c r="F22" s="298"/>
      <c r="G22" s="112">
        <f>+'Und1'!G23</f>
        <v>4326</v>
      </c>
      <c r="H22" s="113">
        <f>+TVnd!E23</f>
        <v>1</v>
      </c>
      <c r="I22" s="115">
        <f>'Und1'!I23</f>
        <v>3</v>
      </c>
      <c r="J22" s="159">
        <f>+'Und1'!J23+'Und1'!K23</f>
        <v>2.4282585727109689</v>
      </c>
      <c r="K22" s="242">
        <f t="shared" si="1"/>
        <v>10504.646585547651</v>
      </c>
      <c r="M22" s="247">
        <f>'Und1'!N23+'Und1'!O23</f>
        <v>2.3319999999999999</v>
      </c>
      <c r="N22" s="248">
        <f t="shared" si="0"/>
        <v>9.6258572710969048E-2</v>
      </c>
      <c r="O22" s="249">
        <f t="shared" si="2"/>
        <v>10088.232</v>
      </c>
      <c r="P22" s="141"/>
    </row>
    <row r="23" spans="1:16" ht="15.6" x14ac:dyDescent="0.3">
      <c r="A23" s="117">
        <v>15</v>
      </c>
      <c r="B23" s="297" t="s">
        <v>45</v>
      </c>
      <c r="C23" s="297"/>
      <c r="D23" s="297"/>
      <c r="E23" s="297"/>
      <c r="F23" s="298"/>
      <c r="G23" s="112">
        <f>+'Und1'!G24</f>
        <v>549</v>
      </c>
      <c r="H23" s="113">
        <f>+TVnd!E24</f>
        <v>1</v>
      </c>
      <c r="I23" s="115">
        <f>'Und1'!I24</f>
        <v>3</v>
      </c>
      <c r="J23" s="159">
        <f>+'Und1'!J24+'Und1'!K24</f>
        <v>2.8958654073631251</v>
      </c>
      <c r="K23" s="242">
        <f t="shared" si="1"/>
        <v>1589.8301086423558</v>
      </c>
      <c r="M23" s="247">
        <f>'Und1'!N24+'Und1'!O24</f>
        <v>2.7809999999999997</v>
      </c>
      <c r="N23" s="248">
        <f t="shared" si="0"/>
        <v>0.11486540736312545</v>
      </c>
      <c r="O23" s="249">
        <f t="shared" si="2"/>
        <v>1526.7689999999998</v>
      </c>
      <c r="P23" s="141"/>
    </row>
    <row r="24" spans="1:16" ht="15.6" x14ac:dyDescent="0.3">
      <c r="A24" s="117">
        <v>16</v>
      </c>
      <c r="B24" s="297" t="s">
        <v>49</v>
      </c>
      <c r="C24" s="297"/>
      <c r="D24" s="297"/>
      <c r="E24" s="297"/>
      <c r="F24" s="298"/>
      <c r="G24" s="112">
        <f>+'Und1'!G25</f>
        <v>0</v>
      </c>
      <c r="H24" s="113">
        <f>+TVnd!E25</f>
        <v>0</v>
      </c>
      <c r="I24" s="115">
        <f>'Und1'!I25</f>
        <v>0</v>
      </c>
      <c r="J24" s="159">
        <f>+'Und1'!J25+'Und1'!K25</f>
        <v>12.871095064927758</v>
      </c>
      <c r="K24" s="242">
        <f t="shared" si="1"/>
        <v>0</v>
      </c>
      <c r="M24" s="247">
        <f>'Und1'!N25+'Und1'!O25</f>
        <v>12.359</v>
      </c>
      <c r="N24" s="248">
        <f t="shared" si="0"/>
        <v>0.5120950649277578</v>
      </c>
      <c r="O24" s="249">
        <f t="shared" si="2"/>
        <v>0</v>
      </c>
      <c r="P24" s="141"/>
    </row>
    <row r="25" spans="1:16" ht="15.6" x14ac:dyDescent="0.3">
      <c r="A25" s="117">
        <v>17</v>
      </c>
      <c r="B25" s="297" t="s">
        <v>46</v>
      </c>
      <c r="C25" s="297"/>
      <c r="D25" s="297"/>
      <c r="E25" s="297"/>
      <c r="F25" s="298"/>
      <c r="G25" s="112">
        <f>+'Und1'!G26</f>
        <v>295</v>
      </c>
      <c r="H25" s="113">
        <f>+TVnd!E26</f>
        <v>0</v>
      </c>
      <c r="I25" s="115">
        <f>'Und1'!I26</f>
        <v>3</v>
      </c>
      <c r="J25" s="159">
        <f>+'Und1'!J26+'Und1'!K26</f>
        <v>9.6770208264872632</v>
      </c>
      <c r="K25" s="242">
        <f t="shared" si="1"/>
        <v>2854.7211438137429</v>
      </c>
      <c r="M25" s="247">
        <f>'Und1'!N26+'Und1'!O26</f>
        <v>9.2919999999999998</v>
      </c>
      <c r="N25" s="248">
        <f t="shared" si="0"/>
        <v>0.38502082648726343</v>
      </c>
      <c r="O25" s="249">
        <f t="shared" si="2"/>
        <v>2741.14</v>
      </c>
      <c r="P25" s="141"/>
    </row>
    <row r="26" spans="1:16" ht="15.6" x14ac:dyDescent="0.3">
      <c r="A26" s="117">
        <v>18</v>
      </c>
      <c r="B26" s="297" t="s">
        <v>47</v>
      </c>
      <c r="C26" s="297"/>
      <c r="D26" s="297"/>
      <c r="E26" s="297"/>
      <c r="F26" s="298"/>
      <c r="G26" s="112">
        <f>+'Und1'!G27</f>
        <v>129</v>
      </c>
      <c r="H26" s="113">
        <f>+TVnd!E27</f>
        <v>1</v>
      </c>
      <c r="I26" s="115">
        <f>'Und1'!I27</f>
        <v>2</v>
      </c>
      <c r="J26" s="159">
        <f>+'Und1'!J27+'Und1'!K27</f>
        <v>6.0217194608791864</v>
      </c>
      <c r="K26" s="242">
        <f t="shared" si="1"/>
        <v>776.8018104534151</v>
      </c>
      <c r="M26" s="247">
        <f>'Und1'!N27+'Und1'!O27</f>
        <v>5.758</v>
      </c>
      <c r="N26" s="248">
        <f t="shared" si="0"/>
        <v>0.26371946087918641</v>
      </c>
      <c r="O26" s="249">
        <f t="shared" si="2"/>
        <v>742.78200000000004</v>
      </c>
      <c r="P26" s="141"/>
    </row>
    <row r="27" spans="1:16" ht="15.6" x14ac:dyDescent="0.3">
      <c r="A27" s="117">
        <v>19</v>
      </c>
      <c r="B27" s="297" t="s">
        <v>50</v>
      </c>
      <c r="C27" s="297"/>
      <c r="D27" s="297"/>
      <c r="E27" s="297"/>
      <c r="F27" s="298"/>
      <c r="G27" s="112">
        <f>+'Und1'!G28</f>
        <v>150</v>
      </c>
      <c r="H27" s="113">
        <f>+TVnd!E28</f>
        <v>0.5</v>
      </c>
      <c r="I27" s="115">
        <f>'Und1'!I28</f>
        <v>2</v>
      </c>
      <c r="J27" s="159">
        <f>+'Und1'!J28+'Und1'!K28</f>
        <v>5.5166259551560461</v>
      </c>
      <c r="K27" s="242">
        <f t="shared" si="1"/>
        <v>827.49389327340691</v>
      </c>
      <c r="M27" s="247">
        <f>'Und1'!N28+'Und1'!O28</f>
        <v>5.298</v>
      </c>
      <c r="N27" s="248">
        <f t="shared" si="0"/>
        <v>0.2186259551560461</v>
      </c>
      <c r="O27" s="249">
        <f t="shared" si="2"/>
        <v>794.7</v>
      </c>
      <c r="P27" s="141"/>
    </row>
    <row r="28" spans="1:16" ht="15.6" x14ac:dyDescent="0.3">
      <c r="A28" s="117">
        <v>20</v>
      </c>
      <c r="B28" s="297" t="s">
        <v>90</v>
      </c>
      <c r="C28" s="297"/>
      <c r="D28" s="297"/>
      <c r="E28" s="297"/>
      <c r="F28" s="298"/>
      <c r="G28" s="112">
        <f>+'Und1'!G29</f>
        <v>0</v>
      </c>
      <c r="H28" s="113">
        <f>+TVnd!E29</f>
        <v>0</v>
      </c>
      <c r="I28" s="115">
        <f>'Und1'!I29</f>
        <v>0</v>
      </c>
      <c r="J28" s="159">
        <f>+'Und1'!J29+'Und1'!K29</f>
        <v>16.125573221079918</v>
      </c>
      <c r="K28" s="242">
        <f t="shared" si="1"/>
        <v>0</v>
      </c>
      <c r="M28" s="247">
        <f>'Und1'!N29+'Und1'!O29</f>
        <v>15.483000000000001</v>
      </c>
      <c r="N28" s="248">
        <f t="shared" si="0"/>
        <v>0.64257322107991754</v>
      </c>
      <c r="O28" s="249">
        <f t="shared" si="2"/>
        <v>0</v>
      </c>
      <c r="P28" s="141"/>
    </row>
    <row r="29" spans="1:16" ht="16.2" thickBot="1" x14ac:dyDescent="0.35">
      <c r="A29" s="118">
        <v>21</v>
      </c>
      <c r="B29" s="308" t="s">
        <v>51</v>
      </c>
      <c r="C29" s="309"/>
      <c r="D29" s="309"/>
      <c r="E29" s="309"/>
      <c r="F29" s="309"/>
      <c r="G29" s="112">
        <f>+'Und1'!G30</f>
        <v>0</v>
      </c>
      <c r="H29" s="113">
        <f>+TVnd!E30</f>
        <v>0.5</v>
      </c>
      <c r="I29" s="115">
        <f>'Und1'!I30</f>
        <v>0</v>
      </c>
      <c r="J29" s="159">
        <f>+'Und1'!J30+'Und1'!K30</f>
        <v>3.5678833359367754</v>
      </c>
      <c r="K29" s="242">
        <f t="shared" si="1"/>
        <v>0</v>
      </c>
      <c r="M29" s="247">
        <f>'Und1'!N30+'Und1'!O30</f>
        <v>3.4249999999999998</v>
      </c>
      <c r="N29" s="248">
        <f t="shared" si="0"/>
        <v>0.1428833359367756</v>
      </c>
      <c r="O29" s="249">
        <f t="shared" si="2"/>
        <v>0</v>
      </c>
      <c r="P29" s="141"/>
    </row>
    <row r="30" spans="1:16" ht="16.2" thickBot="1" x14ac:dyDescent="0.35">
      <c r="A30" s="2"/>
      <c r="B30" s="2"/>
      <c r="C30" s="2"/>
      <c r="D30" s="2"/>
      <c r="E30" s="2"/>
      <c r="F30" s="2"/>
      <c r="G30" s="236">
        <f>+'Und1'!G31</f>
        <v>29613.5</v>
      </c>
      <c r="H30" s="237">
        <f>SUM(H9:H29)</f>
        <v>15.5</v>
      </c>
      <c r="I30" s="237">
        <f>SUM(I9:I29)</f>
        <v>69</v>
      </c>
      <c r="J30" s="238"/>
      <c r="K30" s="239">
        <f>SUM(K9:K29)</f>
        <v>78311.750000000015</v>
      </c>
      <c r="M30" s="250"/>
      <c r="N30" s="251"/>
      <c r="O30" s="252">
        <f>SUM(O9:O29)</f>
        <v>75189.712499999994</v>
      </c>
    </row>
    <row r="31" spans="1:16" ht="15.6" x14ac:dyDescent="0.3">
      <c r="A31" s="2"/>
      <c r="B31" s="2"/>
      <c r="C31" s="2"/>
      <c r="D31" s="2"/>
      <c r="E31" s="2"/>
      <c r="F31" s="2"/>
      <c r="G31" s="2"/>
      <c r="H31" s="2"/>
      <c r="I31" s="100"/>
      <c r="K31" s="103"/>
    </row>
    <row r="32" spans="1:16" ht="15.6" x14ac:dyDescent="0.3">
      <c r="A32" s="2"/>
      <c r="B32" s="2"/>
      <c r="C32" s="2"/>
      <c r="D32" s="2"/>
      <c r="E32" s="2"/>
      <c r="F32" s="2"/>
      <c r="G32" s="2"/>
      <c r="H32" s="2"/>
      <c r="I32" s="2"/>
    </row>
  </sheetData>
  <mergeCells count="23">
    <mergeCell ref="A3:D3"/>
    <mergeCell ref="B28:F28"/>
    <mergeCell ref="B29:F29"/>
    <mergeCell ref="B23:F23"/>
    <mergeCell ref="B24:F24"/>
    <mergeCell ref="B25:F25"/>
    <mergeCell ref="B26:F26"/>
    <mergeCell ref="B27:F27"/>
    <mergeCell ref="B18:F18"/>
    <mergeCell ref="B19:F19"/>
    <mergeCell ref="B20:F20"/>
    <mergeCell ref="B21:F21"/>
    <mergeCell ref="B8:F8"/>
    <mergeCell ref="B9:F9"/>
    <mergeCell ref="B10:F10"/>
    <mergeCell ref="B11:F11"/>
    <mergeCell ref="B22:F22"/>
    <mergeCell ref="B12:F12"/>
    <mergeCell ref="B13:F13"/>
    <mergeCell ref="B14:F14"/>
    <mergeCell ref="B15:F15"/>
    <mergeCell ref="B16:F16"/>
    <mergeCell ref="B17:F1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2026</vt:lpstr>
      <vt:lpstr>Dati</vt:lpstr>
      <vt:lpstr>Ud1</vt:lpstr>
      <vt:lpstr>Ud</vt:lpstr>
      <vt:lpstr>Ud2</vt:lpstr>
      <vt:lpstr>Und1</vt:lpstr>
      <vt:lpstr>TFnd</vt:lpstr>
      <vt:lpstr>TVnd</vt:lpstr>
      <vt:lpstr>Und</vt:lpstr>
      <vt:lpstr>Dati!Print_Area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</dc:creator>
  <cp:lastModifiedBy>Genesio Bonfanti</cp:lastModifiedBy>
  <cp:lastPrinted>2017-02-15T09:32:19Z</cp:lastPrinted>
  <dcterms:created xsi:type="dcterms:W3CDTF">2012-08-16T07:55:30Z</dcterms:created>
  <dcterms:modified xsi:type="dcterms:W3CDTF">2026-06-25T21:21:43Z</dcterms:modified>
</cp:coreProperties>
</file>